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<sst xmlns="http://schemas.openxmlformats.org/spreadsheetml/2006/main" count="416" uniqueCount="284">
  <si>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</si>
  <si>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</si>
  <si>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</si>
  <si>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</si>
  <si>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</si>
  <si>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</si>
  <si>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</si>
  <si>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</si>
  <si>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</si>
  <si>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</si>
  <si>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</si>
  <si>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</si>
  <si>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</si>
  <si>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</si>
  <si>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Конструктивные элементы</t>
  </si>
  <si>
    <t>Восстановление (ремонт) бетонной отмостки толщиной 15 см</t>
  </si>
  <si>
    <t>100 м2 отмостки</t>
  </si>
  <si>
    <t>Заделка трещин в каменных стенах цементным раствором</t>
  </si>
  <si>
    <t>100 м заделанной трещины</t>
  </si>
  <si>
    <t>Простая масляная окраска ранее окрашенных поверхностей</t>
  </si>
  <si>
    <t>100 м2 окрашенной поверхности</t>
  </si>
  <si>
    <t>Восстановление козырьков</t>
  </si>
  <si>
    <t>кв.м.</t>
  </si>
  <si>
    <t>Ремонт поверхности цементных полов</t>
  </si>
  <si>
    <t>Смена поврежденных листов асбоцементных кровель</t>
  </si>
  <si>
    <t>100 м2 сменяемого покрытия</t>
  </si>
  <si>
    <t>Прочистка засоренных вентиляционных каналов</t>
  </si>
  <si>
    <t>10 м канала</t>
  </si>
  <si>
    <t>Ремонт дверных коробок в узких каменных стенах</t>
  </si>
  <si>
    <t>10 коробок</t>
  </si>
  <si>
    <t>Простая масляная окраска дверей</t>
  </si>
  <si>
    <t>100 кв.м.</t>
  </si>
  <si>
    <t>Устранение повышенных прогибов площадок и маршей при сварке</t>
  </si>
  <si>
    <t>1 м балки</t>
  </si>
  <si>
    <t>Заделка трещин и мелких выбоин</t>
  </si>
  <si>
    <t>100 мест</t>
  </si>
  <si>
    <t>Итого по разделу:</t>
  </si>
  <si>
    <t>Внутридомовое инженерное оборудование и технические устройства</t>
  </si>
  <si>
    <t>Прочистка и промывка отопительных приборов ребристых труб внутри здания</t>
  </si>
  <si>
    <t>100 приборов</t>
  </si>
  <si>
    <t>Восстановление разрушенной тепловой изоляции шнуром асбестовым</t>
  </si>
  <si>
    <t>100 м2 восстановленного участка</t>
  </si>
  <si>
    <t>Ремонт приборов учета воды условным диаметром 25-40 мм</t>
  </si>
  <si>
    <t>Счетчик воды</t>
  </si>
  <si>
    <t>Смена вентилей и клапанов обратных муфтовых диаметром до 32  мм</t>
  </si>
  <si>
    <t>100 шт.</t>
  </si>
  <si>
    <t>Замена внутренних пожарных кранов</t>
  </si>
  <si>
    <t>100 кранов</t>
  </si>
  <si>
    <t>Устранение засоров внутренних канализационных трубопроводов</t>
  </si>
  <si>
    <t>100 м трубы</t>
  </si>
  <si>
    <t>Техническое обслуживание внутридомовых газопроводов диаметром 50-75 мм</t>
  </si>
  <si>
    <t>100 пог. м.</t>
  </si>
  <si>
    <t>Устранение неплотности соединений газопровода диаметром 25 мм</t>
  </si>
  <si>
    <t>1 соединение</t>
  </si>
  <si>
    <t>Замена газового крана диаметром 25 и 32 мм</t>
  </si>
  <si>
    <t>1 кран</t>
  </si>
  <si>
    <t>Проверка работоспособности и смазка отключающих устройств</t>
  </si>
  <si>
    <t>1 устройство</t>
  </si>
  <si>
    <t>Визуальная проверка (осмотр) газового оборудования</t>
  </si>
  <si>
    <t>1 оборудование</t>
  </si>
  <si>
    <t>Проверка герметичности соединений и отключающих устройств</t>
  </si>
  <si>
    <t>Проверка работоспособности устройств, позволяющих автоматически отключить подачу газа при отклонении контролируемых параметров за допустимые пределы, их наладка и регулировка</t>
  </si>
  <si>
    <t>Регулировка процесса сжигания газа на всех режимах работы, очистка горелок от загрязнений</t>
  </si>
  <si>
    <t>Ремонт общедомового прибора учета электрической энергии</t>
  </si>
  <si>
    <t xml:space="preserve">1 прибор учета </t>
  </si>
  <si>
    <t>Утепление и прочистка дымовентиляционных каналов</t>
  </si>
  <si>
    <t>1000 кв.м. общей площади</t>
  </si>
  <si>
    <t>Осмотр территории вокруг здания и фундамента</t>
  </si>
  <si>
    <t>Осмотр кирпичных и железобетонных стен, фасадов</t>
  </si>
  <si>
    <t>Осмотр деревянных перекрытий</t>
  </si>
  <si>
    <t>Осмотр деревянных покрытий, полов</t>
  </si>
  <si>
    <t>1000 кв.м. полов</t>
  </si>
  <si>
    <t>Осмотр железобетонных перекрытий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</si>
  <si>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</si>
  <si>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</si>
  <si>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</si>
  <si>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кровель из штучных материалов,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</si>
  <si>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</si>
  <si>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</si>
  <si>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</si>
  <si>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</si>
  <si>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</si>
  <si>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</si>
  <si>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</si>
  <si>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Регулировка и наладка систем отопления</t>
  </si>
  <si>
    <t>1 здание</t>
  </si>
  <si>
    <t>Первое рабочее испытание отдельных частей системы при диаметре трубопровода до 50 мм</t>
  </si>
  <si>
    <t>100 м трубопровода</t>
  </si>
  <si>
    <t>Проверка на прогрев отопительных приборов с регулировкой</t>
  </si>
  <si>
    <t>Промывка трубопроводов системы центрального отопления до 50 мм</t>
  </si>
  <si>
    <t>10 м трубопровода (100 м3 здания)</t>
  </si>
  <si>
    <t>Ликвидация воздушных пробок в стояке системы отопления</t>
  </si>
  <si>
    <t>100 стояков</t>
  </si>
  <si>
    <t>Визуальный осмотр прибора учета воды диаметром 50-250 мм и проверка наличия и нарушения пломб</t>
  </si>
  <si>
    <t>1 прибор учета</t>
  </si>
  <si>
    <t>Устранение аварии на внутридомовых инженерных сетях при сроке эксплуатации многоквартирного дома от 11 до 30  лет</t>
  </si>
  <si>
    <t>1000 м2  общей площади жилых помещений, оборудованных газовыми плитами (в год для одной смены)</t>
  </si>
  <si>
    <t>Санитарное содержание мест общего пользования, благоустройство придомовой территории и прочие работы</t>
  </si>
  <si>
    <t>Мытье  лестничных площадок и маршей  выше третьего этажа (в доме без лифтов и мусоропровода)</t>
  </si>
  <si>
    <t>100 м2 убираемой  площади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</si>
  <si>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</si>
  <si>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</si>
  <si>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</si>
  <si>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</si>
  <si>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</si>
  <si>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</si>
  <si>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Влажная протирка почтовых ящиков (с моющим средством)</t>
  </si>
  <si>
    <t>100 кв.м почтовых ящиков</t>
  </si>
  <si>
    <t>Влажная протирка перил лестниц (с моющим средством)</t>
  </si>
  <si>
    <t>100 кв.м. перил лестниц</t>
  </si>
  <si>
    <t>Подметание в летний период  земельного участка с усовершенствованным покрытием 1 класса</t>
  </si>
  <si>
    <t>1 000 кв.м. территории</t>
  </si>
  <si>
    <t>Очистка опрокидывающихся урн от мусора</t>
  </si>
  <si>
    <t>на 100 урн</t>
  </si>
  <si>
    <t>Очистка от наледи и льда крышек люков пожарных колодцев</t>
  </si>
  <si>
    <t>1 шт</t>
  </si>
  <si>
    <t>Очистка кровли от снега, сбивание сосулек (при толщине слоя до 10 см)</t>
  </si>
  <si>
    <t>100 кв.м.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</si>
  <si>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</si>
  <si>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</si>
  <si>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</si>
  <si>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Дератизация чердаков и подвалов с применением готовой приманки типа "Шторм" -  антикоагулянта II поколения</t>
  </si>
  <si>
    <t>1000 м2  обрабатываемых  помещений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</si>
  <si>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</si>
  <si>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</si>
  <si>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</si>
  <si>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</si>
  <si>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</si>
  <si>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</si>
  <si>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</si>
  <si>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</si>
  <si>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</si>
  <si>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</si>
  <si>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</si>
  <si>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</si>
  <si>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</si>
  <si>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</si>
  <si>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2 разряда</t>
  </si>
  <si>
    <t>чел.-час</t>
  </si>
  <si>
    <t>Бетонщик 2.4 разряда</t>
  </si>
  <si>
    <t>Бетонщик 4 разряда</t>
  </si>
  <si>
    <t>Дворник 1 разряда</t>
  </si>
  <si>
    <t>Дезинфектор 3 разряда</t>
  </si>
  <si>
    <t>Изолировщик на термоизоляции 2 разряда</t>
  </si>
  <si>
    <t>Изолировщик на термоизоляции 3 разряда</t>
  </si>
  <si>
    <t>Изолировщик на термоизоляции 4 разряда</t>
  </si>
  <si>
    <t>Каменщик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</si>
  <si>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</si>
  <si>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</si>
  <si>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</si>
  <si>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Кровельщик по стальным кровлям 3 разряда</t>
  </si>
  <si>
    <t>Маляр 2 разряда</t>
  </si>
  <si>
    <t>Маляр 3 разряда</t>
  </si>
  <si>
    <t>Монтажник по монтажу стальных и железобетонных конструкций 2 разряда</t>
  </si>
  <si>
    <t>Монтажник по монтажу стальных и железобетонных конструкций 3 разряда</t>
  </si>
  <si>
    <t>Монтажник по монтажу стальных и железобетонных конструкций 4 разряда</t>
  </si>
  <si>
    <t>Монтажник санитарно-технических систем и оборудования 4 разряда</t>
  </si>
  <si>
    <t>Плотник 4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</si>
  <si>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</si>
  <si>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</si>
  <si>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</si>
  <si>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</si>
  <si>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</si>
  <si>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</si>
  <si>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</si>
  <si>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</si>
  <si>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</si>
  <si>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</si>
  <si>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</si>
  <si>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</si>
  <si>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Столяр строительный 3.4 разряда</t>
  </si>
  <si>
    <t>Столяр строительный 4 разряда</t>
  </si>
  <si>
    <t>Чистильщик дымоходов, боровок и топок 4 разряда</t>
  </si>
  <si>
    <t>Штукатур 3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</si>
  <si>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</si>
  <si>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</si>
  <si>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</si>
  <si>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</si>
  <si>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</si>
  <si>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Белила</t>
  </si>
  <si>
    <t>т</t>
  </si>
  <si>
    <t>Бетон тяжелый, класс В 30 (М400)</t>
  </si>
  <si>
    <t>м3</t>
  </si>
  <si>
    <t>Бетон тяжелый, крупность заполнителя 20 мм, класс В15 (М200)</t>
  </si>
  <si>
    <t>Болты с гайками и шайбами для санитарно-технических работ, диаметром 16 мм</t>
  </si>
  <si>
    <t>Бруски обрезные длиной 2-3.75 м, шириной 75-150 мм, толщиной 40-75 мм II сорта</t>
  </si>
  <si>
    <t>Бруски обрезные хвойных пород длиной 2 - 6,5 м, толщиной 40 - 60 мм II сорта</t>
  </si>
  <si>
    <t>Вентиль обратный муфтовый диаметром до 32 мм</t>
  </si>
  <si>
    <t>шт.</t>
  </si>
  <si>
    <t>Вентиль пожарный</t>
  </si>
  <si>
    <t>Ветошь</t>
  </si>
  <si>
    <t>кг</t>
  </si>
  <si>
    <t>Вода водопроводная</t>
  </si>
  <si>
    <t>Войлок строительный</t>
  </si>
  <si>
    <t>Войлок строительный толщиной 15 мм</t>
  </si>
  <si>
    <t>м2</t>
  </si>
  <si>
    <t>Волокно целлюлозное типа Виатон-66</t>
  </si>
  <si>
    <t>Гвозди строительные</t>
  </si>
  <si>
    <t>Гвозди строительные с плоской головкой 1,8 x 60 мм</t>
  </si>
  <si>
    <t>Гипсовые вяжущие Г-3</t>
  </si>
  <si>
    <t xml:space="preserve">Головки для пожарных рукавов соединительные напорные, давлением 1,2 МПа (12 кгс/см2) рукавные, диаметром 50 мм      </t>
  </si>
  <si>
    <t>Готовая приманка</t>
  </si>
  <si>
    <t>Детали к листам асбестоцементным волнистым обыкновенного профиля, коньковые К-1 и К-2</t>
  </si>
  <si>
    <t>100 пар</t>
  </si>
  <si>
    <t>Доски половые со шпунтом и гребнем из древесины антисептированные тип ДП-27, толщиной 27 мм, шириной без гребня от 100 до 140 мм</t>
  </si>
  <si>
    <t>Доски строганные длиной 2-3,75 м, шириной 75 - 150 мм, толщиной 25 мм, III сорта</t>
  </si>
  <si>
    <t>Доски строганные длиной 2-3,75 м, шириной 75 - 150 мм, толщиной 44 мм и более III сорта</t>
  </si>
  <si>
    <t>Клей столярный сухой</t>
  </si>
  <si>
    <t xml:space="preserve">Колер масляный </t>
  </si>
  <si>
    <t>Кран газовый, Ду 25-32 мм</t>
  </si>
  <si>
    <t>Краски масляные земляные  МА-0115: мумия, сурик  железный</t>
  </si>
  <si>
    <t>Краски масляные и алкидные, готовые к применению белила литопонные: МА-22</t>
  </si>
  <si>
    <t xml:space="preserve">Лен трепаный </t>
  </si>
  <si>
    <t>Листы асбестоцементные волнистые обыкновенного профиля толщиной 5,5 мм</t>
  </si>
  <si>
    <t>Металлические балки</t>
  </si>
  <si>
    <t>т.</t>
  </si>
  <si>
    <t>Металлоконструкции кронштейнов</t>
  </si>
  <si>
    <t>Мешки полиэтиленовые, 60 л</t>
  </si>
  <si>
    <t>1000 шт.</t>
  </si>
  <si>
    <t>Моющее средство</t>
  </si>
  <si>
    <t>Мыло</t>
  </si>
  <si>
    <t>Мыльный раствор</t>
  </si>
  <si>
    <t>л</t>
  </si>
  <si>
    <t>Олифа комбинированная К-3</t>
  </si>
  <si>
    <t>Олифа натуральная</t>
  </si>
  <si>
    <t>Очес льняной</t>
  </si>
  <si>
    <t>Пемза шлаковая (щебень пористый из металлургического шлака), марка 600,фракция от 5 до 10 мм</t>
  </si>
  <si>
    <t xml:space="preserve">Песок природный для строительных работ средний </t>
  </si>
  <si>
    <t>Пигмент тертый</t>
  </si>
  <si>
    <t>Поковки оцинкованные, масса 2,825 кг</t>
  </si>
  <si>
    <t>Поковки простые строительные (скобы, закрепы, хомуты и т.п.) массой до 1,6 кг</t>
  </si>
  <si>
    <t>Проволока стальная низкоуглеродистая разного  назначения оцинкованная диаметром 1,1 мм</t>
  </si>
  <si>
    <t>Проволока черная, отожженная, 0,8 мм</t>
  </si>
  <si>
    <t>Прокладки из паронита марки ПМБ, толщиной 1 мм, д. 200 мм</t>
  </si>
  <si>
    <t>Прокладки толевые уплотнительные 20 x 20 мм</t>
  </si>
  <si>
    <t>10 шт.</t>
  </si>
  <si>
    <t>Раствор готовый кладочный цементный М25</t>
  </si>
  <si>
    <t>Раствор готовый кладочный цементный М400</t>
  </si>
  <si>
    <t>Раствор готовый отделочный тяжелый, цементный 1:2</t>
  </si>
  <si>
    <t>Растворитель - бензин</t>
  </si>
  <si>
    <t>Растворы кладочные тяжелые известковые марки 10</t>
  </si>
  <si>
    <t>Резина листовая вулканизованная цветная</t>
  </si>
  <si>
    <t xml:space="preserve">Рукава пожарные льняные сухого прядения нормальные, 51 мм                          </t>
  </si>
  <si>
    <t>пог. м</t>
  </si>
  <si>
    <t>Смазка солидол жировой Ж</t>
  </si>
  <si>
    <t xml:space="preserve">Сталь листовая кровельная черная толщиной 0,7 мм </t>
  </si>
  <si>
    <t xml:space="preserve">Стволы пожарные ручные марки РС, диаметр 50 мм              </t>
  </si>
  <si>
    <t>Стекло приборное</t>
  </si>
  <si>
    <t>Сурик свинцовый тертый</t>
  </si>
  <si>
    <t>Ткань мешочная</t>
  </si>
  <si>
    <t>10 м2</t>
  </si>
  <si>
    <t>Толь с крупнозернистой посыпкой гидроизоляционный марки ТГ-350</t>
  </si>
  <si>
    <t>Трансформатор</t>
  </si>
  <si>
    <t>Цемент глиноземистый марки 400</t>
  </si>
  <si>
    <t>Шайбы плоские из оцинкованной стали</t>
  </si>
  <si>
    <t>Шкафчик для пожарных рукавов  (навесной, закрытый на 2 огнетушителя)</t>
  </si>
  <si>
    <t>Шнур асбестовый общего назначения, марки ШАОН диаметром 10.0 мм</t>
  </si>
  <si>
    <t>Шпагат бумажный влагопрочный одножильный 3,7 мм</t>
  </si>
  <si>
    <t>Шпатлевка клеевая</t>
  </si>
  <si>
    <t>Шпатлевка масляно-клеевая</t>
  </si>
  <si>
    <t>Шурупы с полукруглой головкой 3,5 x 35 мм</t>
  </si>
  <si>
    <t>Шурупы с полукруглой головкой 6 x 80 мм</t>
  </si>
  <si>
    <t xml:space="preserve">Щебень из доменного шлака для  бетона марка Др.45, фракция 20 - 40 мм                           </t>
  </si>
  <si>
    <t>Щиты из досок толщиной 40 мм</t>
  </si>
  <si>
    <t>Электроды диаметром 2 мм Э42</t>
  </si>
  <si>
    <t>Специнвентарь</t>
  </si>
  <si>
    <t>Ведро  оцинкованное</t>
  </si>
  <si>
    <t>Лопата совковая</t>
  </si>
  <si>
    <t>Метла березовая</t>
  </si>
  <si>
    <t>Скребок-ледоруб</t>
  </si>
  <si>
    <t xml:space="preserve">Швабра </t>
  </si>
  <si>
    <t>Щетка д/пола 280 мм с черенком на резьбе 1,2 м.</t>
  </si>
  <si>
    <t>Машины/Механизмы</t>
  </si>
  <si>
    <t>Автобетононасосы 65 м3/ч</t>
  </si>
  <si>
    <t>маш.-час</t>
  </si>
  <si>
    <t>Виброплита электрическая</t>
  </si>
  <si>
    <t>Компрессор передвижной с двигателем внутреннего сгорания давлением до 686 кПа (7 ат) до 5 м3/мин</t>
  </si>
  <si>
    <t>Молотки при работе от передвижных компрессорных станций отбойные пневматические</t>
  </si>
  <si>
    <t>маш.-час.</t>
  </si>
  <si>
    <t>Молотки при работе от передвижных компрессорных станций чеканочные</t>
  </si>
  <si>
    <t>Установки для гидравлических испытаний трубопроводов, давление нагнетания низкое 0,1 мПа (1 кгс/см2), высокое 10 мПа (100 кгс/см2)</t>
  </si>
  <si>
    <t>Установки для сварки ручной дуговой (постоянного тока)</t>
  </si>
  <si>
    <t>Смета расходов. Список работ по типу многоквартирного дома 3</t>
  </si>
  <si>
    <t>2-5 этажные капитальные дома, имеющие все виды благоустройства, с отоплением через газовые котлы без оформления права собственности на земельный участок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</si>
</sst>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39"/>
      <name val="Arial"/>
      <family val="0"/>
    </font>
    <font>
      <u val="single"/>
      <sz val="9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8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tabSelected="1" workbookViewId="0" topLeftCell="B1">
      <selection activeCell="B5" sqref="B5:N5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34" t="s">
        <v>282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3" spans="2:14" ht="54.7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46.5" customHeight="1">
      <c r="B4" s="35" t="s">
        <v>283</v>
      </c>
      <c r="C4" s="36"/>
      <c r="D4" s="36"/>
      <c r="E4" s="36"/>
      <c r="F4" s="36"/>
      <c r="G4" s="37"/>
      <c r="H4" s="37"/>
      <c r="I4" s="37"/>
      <c r="J4" s="37"/>
      <c r="K4" s="37"/>
      <c r="L4" s="38" t="s">
        <v>13</v>
      </c>
      <c r="M4" s="38"/>
      <c r="N4" s="16">
        <v>2000</v>
      </c>
    </row>
    <row r="5" spans="2:14" ht="21.75" customHeight="1">
      <c r="B5" s="39" t="s">
        <v>14</v>
      </c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2"/>
    </row>
    <row r="6" spans="2:14" ht="24">
      <c r="B6" s="8">
        <v>1</v>
      </c>
      <c r="C6" s="6" t="s">
        <v>15</v>
      </c>
      <c r="D6" s="6" t="s">
        <v>16</v>
      </c>
      <c r="E6" s="10">
        <v>0.2</v>
      </c>
      <c r="F6" s="10">
        <v>1</v>
      </c>
      <c r="G6" s="13">
        <f>25477.778718*E6*F6</f>
        <v>5095.555743600001</v>
      </c>
      <c r="H6" s="13">
        <f>55869.732823*E6*F6</f>
        <v>11173.9465646</v>
      </c>
      <c r="I6" s="13">
        <f>6670.242726*E6*F6</f>
        <v>1334.0485452000003</v>
      </c>
      <c r="J6" s="13">
        <f>26309.075486288*E6*F6</f>
        <v>5261.8150972576</v>
      </c>
      <c r="K6" s="13">
        <f>12004.317124095*E6*F6</f>
        <v>2400.863424819</v>
      </c>
      <c r="L6" s="13">
        <f>5527.1166988*E6*F6</f>
        <v>1105.42333976</v>
      </c>
      <c r="M6" s="13">
        <f aca="true" t="shared" si="0" ref="M6:M16">SUM(G6:L6)</f>
        <v>26371.6527152366</v>
      </c>
      <c r="N6" s="17">
        <f>IF(N4&gt;0,(M6/$N$4/12),0)</f>
        <v>1.0988188631348583</v>
      </c>
    </row>
    <row r="7" spans="2:14" ht="24">
      <c r="B7" s="9">
        <v>2</v>
      </c>
      <c r="C7" s="7" t="s">
        <v>17</v>
      </c>
      <c r="D7" s="7" t="s">
        <v>18</v>
      </c>
      <c r="E7" s="11">
        <v>0.2</v>
      </c>
      <c r="F7" s="11">
        <v>1</v>
      </c>
      <c r="G7" s="14">
        <f>4253.076*E7*F7</f>
        <v>850.6152000000001</v>
      </c>
      <c r="H7" s="14">
        <f>558.85948*E7*F7</f>
        <v>111.771896</v>
      </c>
      <c r="I7" s="14">
        <f aca="true" t="shared" si="1" ref="I7:I14">0*E7*F7</f>
        <v>0</v>
      </c>
      <c r="J7" s="14">
        <f>4048.928352*E7*F7</f>
        <v>809.7856704000001</v>
      </c>
      <c r="K7" s="14">
        <f>930.39070236*E7*F7</f>
        <v>186.078140472</v>
      </c>
      <c r="L7" s="14">
        <f>850.6152*E7*F7</f>
        <v>170.12304</v>
      </c>
      <c r="M7" s="14">
        <f t="shared" si="0"/>
        <v>2128.373946872</v>
      </c>
      <c r="N7" s="18">
        <f>IF(N4&gt;0,(M7/$N$4/12),0)</f>
        <v>0.08868224778633334</v>
      </c>
    </row>
    <row r="8" spans="2:14" ht="24">
      <c r="B8" s="9">
        <v>3</v>
      </c>
      <c r="C8" s="7" t="s">
        <v>19</v>
      </c>
      <c r="D8" s="7" t="s">
        <v>20</v>
      </c>
      <c r="E8" s="11">
        <v>0.15</v>
      </c>
      <c r="F8" s="11">
        <v>1</v>
      </c>
      <c r="G8" s="14">
        <f>8907.602*E8*F8</f>
        <v>1336.1403</v>
      </c>
      <c r="H8" s="14">
        <f>1954.956554576*E8*F8</f>
        <v>293.2434831864</v>
      </c>
      <c r="I8" s="14">
        <f t="shared" si="1"/>
        <v>0</v>
      </c>
      <c r="J8" s="14">
        <f>8480.037104*E8*F8</f>
        <v>1272.0055656000002</v>
      </c>
      <c r="K8" s="14">
        <f>2030.9725441505*E8*F8</f>
        <v>304.64588162257496</v>
      </c>
      <c r="L8" s="14">
        <f>1781.5204*E8*F8</f>
        <v>267.22806</v>
      </c>
      <c r="M8" s="14">
        <f t="shared" si="0"/>
        <v>3473.263290408975</v>
      </c>
      <c r="N8" s="18">
        <f>IF(N4&gt;0,(M8/$N$4/12),0)</f>
        <v>0.14471930376704065</v>
      </c>
    </row>
    <row r="9" spans="2:14" ht="12">
      <c r="B9" s="9">
        <v>4</v>
      </c>
      <c r="C9" s="7" t="s">
        <v>21</v>
      </c>
      <c r="D9" s="7" t="s">
        <v>22</v>
      </c>
      <c r="E9" s="11">
        <v>5</v>
      </c>
      <c r="F9" s="11">
        <v>1</v>
      </c>
      <c r="G9" s="14">
        <f>799.578288*E9*F9</f>
        <v>3997.8914400000003</v>
      </c>
      <c r="H9" s="14">
        <f>536.124228771*E9*F9</f>
        <v>2680.6211438550004</v>
      </c>
      <c r="I9" s="14">
        <f t="shared" si="1"/>
        <v>0</v>
      </c>
      <c r="J9" s="14">
        <f>761.198530176*E9*F9</f>
        <v>3805.99265088</v>
      </c>
      <c r="K9" s="14">
        <f>220.17460992943*E9*F9</f>
        <v>1100.87304964715</v>
      </c>
      <c r="L9" s="14">
        <f>159.9156576*E9*F9</f>
        <v>799.578288</v>
      </c>
      <c r="M9" s="14">
        <f t="shared" si="0"/>
        <v>12384.956572382152</v>
      </c>
      <c r="N9" s="18">
        <f>IF(N4&gt;0,(M9/$N$4/12),0)</f>
        <v>0.5160398571825897</v>
      </c>
    </row>
    <row r="10" spans="2:14" ht="12">
      <c r="B10" s="9">
        <v>5</v>
      </c>
      <c r="C10" s="7" t="s">
        <v>23</v>
      </c>
      <c r="D10" s="7" t="s">
        <v>22</v>
      </c>
      <c r="E10" s="11">
        <v>2</v>
      </c>
      <c r="F10" s="11">
        <v>1</v>
      </c>
      <c r="G10" s="14">
        <f>151.12391*E10*F10</f>
        <v>302.24782</v>
      </c>
      <c r="H10" s="14">
        <f>69.265496*E10*F10</f>
        <v>138.530992</v>
      </c>
      <c r="I10" s="14">
        <f t="shared" si="1"/>
        <v>0</v>
      </c>
      <c r="J10" s="14">
        <f>143.86996232*E10*F10</f>
        <v>287.73992464</v>
      </c>
      <c r="K10" s="14">
        <f>38.2472336736*E10*F10</f>
        <v>76.4944673472</v>
      </c>
      <c r="L10" s="14">
        <f>30.224782*E10*F10</f>
        <v>60.449564</v>
      </c>
      <c r="M10" s="14">
        <f t="shared" si="0"/>
        <v>865.4627679872001</v>
      </c>
      <c r="N10" s="18">
        <f>IF(N4&gt;0,(M10/$N$4/12),0)</f>
        <v>0.03606094866613334</v>
      </c>
    </row>
    <row r="11" spans="2:14" ht="24">
      <c r="B11" s="9">
        <v>6</v>
      </c>
      <c r="C11" s="7" t="s">
        <v>24</v>
      </c>
      <c r="D11" s="7" t="s">
        <v>25</v>
      </c>
      <c r="E11" s="11">
        <v>0.4</v>
      </c>
      <c r="F11" s="11">
        <v>1</v>
      </c>
      <c r="G11" s="14">
        <f>9919.8295*E11*F11</f>
        <v>3967.9318000000003</v>
      </c>
      <c r="H11" s="14">
        <f>22663.53879815*E11*F11</f>
        <v>9065.41551926</v>
      </c>
      <c r="I11" s="14">
        <f t="shared" si="1"/>
        <v>0</v>
      </c>
      <c r="J11" s="14">
        <f>9443.677684*E11*F11</f>
        <v>3777.4710736</v>
      </c>
      <c r="K11" s="14">
        <f>4412.8398281257*E11*F11</f>
        <v>1765.13593125028</v>
      </c>
      <c r="L11" s="14">
        <f>1983.9659*E11*F11</f>
        <v>793.58636</v>
      </c>
      <c r="M11" s="14">
        <f t="shared" si="0"/>
        <v>19369.54068411028</v>
      </c>
      <c r="N11" s="18">
        <f>IF(N4&gt;0,(M11/$N$4/12),0)</f>
        <v>0.8070641951712617</v>
      </c>
    </row>
    <row r="12" spans="2:14" ht="12">
      <c r="B12" s="9">
        <v>7</v>
      </c>
      <c r="C12" s="7" t="s">
        <v>26</v>
      </c>
      <c r="D12" s="7" t="s">
        <v>27</v>
      </c>
      <c r="E12" s="11">
        <v>0.7</v>
      </c>
      <c r="F12" s="11">
        <v>1</v>
      </c>
      <c r="G12" s="14">
        <f>382.77684*E12*F12</f>
        <v>267.943788</v>
      </c>
      <c r="H12" s="14">
        <f>88.2069833*E12*F12</f>
        <v>61.74488831</v>
      </c>
      <c r="I12" s="14">
        <f t="shared" si="1"/>
        <v>0</v>
      </c>
      <c r="J12" s="14">
        <f>364.40355168*E12*F12</f>
        <v>255.082486176</v>
      </c>
      <c r="K12" s="14">
        <f>87.7156743729*E12*F12</f>
        <v>61.40097206103</v>
      </c>
      <c r="L12" s="14">
        <f>76.555368*E12*F12</f>
        <v>53.5887576</v>
      </c>
      <c r="M12" s="14">
        <f t="shared" si="0"/>
        <v>699.76089214703</v>
      </c>
      <c r="N12" s="18">
        <f>IF(N4&gt;0,(M12/$N$4/12),0)</f>
        <v>0.02915670383945958</v>
      </c>
    </row>
    <row r="13" spans="2:14" ht="12">
      <c r="B13" s="9">
        <v>8</v>
      </c>
      <c r="C13" s="7" t="s">
        <v>28</v>
      </c>
      <c r="D13" s="7" t="s">
        <v>29</v>
      </c>
      <c r="E13" s="11">
        <v>0.3</v>
      </c>
      <c r="F13" s="11">
        <v>1</v>
      </c>
      <c r="G13" s="14">
        <f>14450.618472*E13*F13</f>
        <v>4335.1855416</v>
      </c>
      <c r="H13" s="14">
        <f>10914.35673041*E13*F13</f>
        <v>3274.307019123</v>
      </c>
      <c r="I13" s="14">
        <f t="shared" si="1"/>
        <v>0</v>
      </c>
      <c r="J13" s="14">
        <f>13756.988785344*E13*F13</f>
        <v>4127.0966356031995</v>
      </c>
      <c r="K13" s="14">
        <f>4107.8062187142*E13*F13</f>
        <v>1232.34186561426</v>
      </c>
      <c r="L13" s="14">
        <f>2890.1236944*E13*F13</f>
        <v>867.03710832</v>
      </c>
      <c r="M13" s="14">
        <f t="shared" si="0"/>
        <v>13835.968170260461</v>
      </c>
      <c r="N13" s="18">
        <f>IF(N4&gt;0,(M13/$N$4/12),0)</f>
        <v>0.5764986737608525</v>
      </c>
    </row>
    <row r="14" spans="2:14" ht="12">
      <c r="B14" s="9">
        <v>9</v>
      </c>
      <c r="C14" s="7" t="s">
        <v>30</v>
      </c>
      <c r="D14" s="7" t="s">
        <v>31</v>
      </c>
      <c r="E14" s="11">
        <v>0.05</v>
      </c>
      <c r="F14" s="11">
        <v>1</v>
      </c>
      <c r="G14" s="14">
        <f>10729.6115*E14*F14</f>
        <v>536.480575</v>
      </c>
      <c r="H14" s="14">
        <f>2605.532392896*E14*F14</f>
        <v>130.2766196448</v>
      </c>
      <c r="I14" s="14">
        <f t="shared" si="1"/>
        <v>0</v>
      </c>
      <c r="J14" s="14">
        <f>10214.590148*E14*F14</f>
        <v>510.7295074</v>
      </c>
      <c r="K14" s="14">
        <f>2472.7220742941*E14*F14</f>
        <v>123.636103714705</v>
      </c>
      <c r="L14" s="14">
        <f>2145.9223*E14*F14</f>
        <v>107.29611500000001</v>
      </c>
      <c r="M14" s="14">
        <f t="shared" si="0"/>
        <v>1408.4189207595052</v>
      </c>
      <c r="N14" s="18">
        <f>IF(N4&gt;0,(M14/$N$4/12),0)</f>
        <v>0.05868412169831272</v>
      </c>
    </row>
    <row r="15" spans="2:14" ht="24">
      <c r="B15" s="9">
        <v>10</v>
      </c>
      <c r="C15" s="7" t="s">
        <v>32</v>
      </c>
      <c r="D15" s="7" t="s">
        <v>33</v>
      </c>
      <c r="E15" s="11">
        <v>1</v>
      </c>
      <c r="F15" s="11">
        <v>1</v>
      </c>
      <c r="G15" s="14">
        <f>125.7148556*E15*F15</f>
        <v>125.7148556</v>
      </c>
      <c r="H15" s="14">
        <f>481.143899292*E15*F15</f>
        <v>481.143899292</v>
      </c>
      <c r="I15" s="14">
        <f>0.2213418*E15*F15</f>
        <v>0.2213418</v>
      </c>
      <c r="J15" s="14">
        <f>119.6805425312*E15*F15</f>
        <v>119.6805425312</v>
      </c>
      <c r="K15" s="14">
        <f>76.309867118436*E15*F15</f>
        <v>76.309867118436</v>
      </c>
      <c r="L15" s="14">
        <f>25.14297112*E15*F15</f>
        <v>25.14297112</v>
      </c>
      <c r="M15" s="14">
        <f t="shared" si="0"/>
        <v>828.213477461636</v>
      </c>
      <c r="N15" s="18">
        <f>IF(N4&gt;0,(M15/$N$4/12),0)</f>
        <v>0.03450889489423483</v>
      </c>
    </row>
    <row r="16" spans="2:14" ht="12">
      <c r="B16" s="9">
        <v>11</v>
      </c>
      <c r="C16" s="7" t="s">
        <v>34</v>
      </c>
      <c r="D16" s="7" t="s">
        <v>35</v>
      </c>
      <c r="E16" s="11">
        <v>0.5</v>
      </c>
      <c r="F16" s="11">
        <v>1</v>
      </c>
      <c r="G16" s="14">
        <f>9715.1085*E16*F16</f>
        <v>4857.55425</v>
      </c>
      <c r="H16" s="14">
        <f>1118.6492948*E16*F16</f>
        <v>559.3246474</v>
      </c>
      <c r="I16" s="14">
        <f>0*E16*F16</f>
        <v>0</v>
      </c>
      <c r="J16" s="14">
        <f>9248.783292*E16*F16</f>
        <v>4624.391646</v>
      </c>
      <c r="K16" s="14">
        <f>2108.666814114*E16*F16</f>
        <v>1054.333407057</v>
      </c>
      <c r="L16" s="14">
        <f>1943.0217*E16*F16</f>
        <v>971.51085</v>
      </c>
      <c r="M16" s="14">
        <f t="shared" si="0"/>
        <v>12067.114800457</v>
      </c>
      <c r="N16" s="18">
        <f>IF(N4&gt;0,(M16/$N$4/12),0)</f>
        <v>0.5027964500190417</v>
      </c>
    </row>
    <row r="17" spans="2:14" ht="19.5" customHeight="1">
      <c r="B17" s="43" t="s">
        <v>36</v>
      </c>
      <c r="C17" s="44"/>
      <c r="D17" s="44"/>
      <c r="E17" s="44"/>
      <c r="F17" s="44"/>
      <c r="G17" s="15">
        <f aca="true" t="shared" si="2" ref="G17:N17">SUM(G6:G16)</f>
        <v>25673.261313800005</v>
      </c>
      <c r="H17" s="15">
        <f t="shared" si="2"/>
        <v>27970.3266726712</v>
      </c>
      <c r="I17" s="15">
        <f t="shared" si="2"/>
        <v>1334.2698870000002</v>
      </c>
      <c r="J17" s="15">
        <f t="shared" si="2"/>
        <v>24851.790800088</v>
      </c>
      <c r="K17" s="15">
        <f t="shared" si="2"/>
        <v>8382.113110723636</v>
      </c>
      <c r="L17" s="15">
        <f t="shared" si="2"/>
        <v>5220.9644538</v>
      </c>
      <c r="M17" s="15">
        <f t="shared" si="2"/>
        <v>93432.72623808285</v>
      </c>
      <c r="N17" s="19">
        <f t="shared" si="2"/>
        <v>3.8930302599201183</v>
      </c>
    </row>
    <row r="18" spans="2:14" ht="21.75" customHeight="1">
      <c r="B18" s="39" t="s">
        <v>37</v>
      </c>
      <c r="C18" s="40"/>
      <c r="D18" s="40"/>
      <c r="E18" s="40"/>
      <c r="F18" s="40"/>
      <c r="G18" s="41"/>
      <c r="H18" s="41"/>
      <c r="I18" s="41"/>
      <c r="J18" s="41"/>
      <c r="K18" s="41"/>
      <c r="L18" s="41"/>
      <c r="M18" s="41"/>
      <c r="N18" s="42"/>
    </row>
    <row r="19" spans="2:14" ht="24">
      <c r="B19" s="8">
        <v>12</v>
      </c>
      <c r="C19" s="6" t="s">
        <v>38</v>
      </c>
      <c r="D19" s="6" t="s">
        <v>39</v>
      </c>
      <c r="E19" s="10">
        <v>0.3</v>
      </c>
      <c r="F19" s="10">
        <v>1</v>
      </c>
      <c r="G19" s="13">
        <f>47230.40898*E19*F19</f>
        <v>14169.122694</v>
      </c>
      <c r="H19" s="13">
        <f>9787.3866129*E19*F19</f>
        <v>2936.21598387</v>
      </c>
      <c r="I19" s="13">
        <f aca="true" t="shared" si="3" ref="I19:I48">0*E19*F19</f>
        <v>0</v>
      </c>
      <c r="J19" s="13">
        <f>44963.34934896*E19*F19</f>
        <v>13489.004804688</v>
      </c>
      <c r="K19" s="13">
        <f>10708.020218895*E19*F19</f>
        <v>3212.4060656685</v>
      </c>
      <c r="L19" s="13">
        <f>9446.081796*E19*F19</f>
        <v>2833.8245388</v>
      </c>
      <c r="M19" s="13">
        <f aca="true" t="shared" si="4" ref="M19:M54">SUM(G19:L19)</f>
        <v>36640.5740870265</v>
      </c>
      <c r="N19" s="17">
        <f>IF(N4&gt;0,(M19/$N$4/12),0)</f>
        <v>1.5266905869594376</v>
      </c>
    </row>
    <row r="20" spans="2:14" ht="36">
      <c r="B20" s="9">
        <v>13</v>
      </c>
      <c r="C20" s="7" t="s">
        <v>40</v>
      </c>
      <c r="D20" s="7" t="s">
        <v>41</v>
      </c>
      <c r="E20" s="11">
        <v>0.01</v>
      </c>
      <c r="F20" s="11">
        <v>1</v>
      </c>
      <c r="G20" s="14">
        <f>26115.4695*E20*F20</f>
        <v>261.154695</v>
      </c>
      <c r="H20" s="14">
        <f>4084.1797915488*E20*F20</f>
        <v>40.841797915488</v>
      </c>
      <c r="I20" s="14">
        <f t="shared" si="3"/>
        <v>0</v>
      </c>
      <c r="J20" s="14">
        <f>24861.926964*E20*F20</f>
        <v>248.61926964</v>
      </c>
      <c r="K20" s="14">
        <f>5781.4655068326*E20*F20</f>
        <v>57.814655068326005</v>
      </c>
      <c r="L20" s="14">
        <f>5223.0939*E20*F20</f>
        <v>52.230939</v>
      </c>
      <c r="M20" s="14">
        <f t="shared" si="4"/>
        <v>660.6613566238141</v>
      </c>
      <c r="N20" s="18">
        <f>IF(N4&gt;0,(M20/$N$4/12),0)</f>
        <v>0.027527556525992255</v>
      </c>
    </row>
    <row r="21" spans="2:14" ht="24">
      <c r="B21" s="9">
        <v>14</v>
      </c>
      <c r="C21" s="7" t="s">
        <v>42</v>
      </c>
      <c r="D21" s="7" t="s">
        <v>43</v>
      </c>
      <c r="E21" s="11">
        <v>1</v>
      </c>
      <c r="F21" s="11">
        <v>1</v>
      </c>
      <c r="G21" s="14">
        <f>287.45448*E21*F21</f>
        <v>287.45448</v>
      </c>
      <c r="H21" s="14">
        <f>0*E21*F21</f>
        <v>0</v>
      </c>
      <c r="I21" s="14">
        <f t="shared" si="3"/>
        <v>0</v>
      </c>
      <c r="J21" s="14">
        <f>273.65666496*E21*F21</f>
        <v>273.65666496</v>
      </c>
      <c r="K21" s="14">
        <f>58.9166702208*E21*F21</f>
        <v>58.9166702208</v>
      </c>
      <c r="L21" s="14">
        <f>57.490896*E21*F21</f>
        <v>57.490896</v>
      </c>
      <c r="M21" s="14">
        <f t="shared" si="4"/>
        <v>677.5187111808001</v>
      </c>
      <c r="N21" s="18">
        <f>IF(N4&gt;0,(M21/$N$4/12),0)</f>
        <v>0.028229946299200004</v>
      </c>
    </row>
    <row r="22" spans="2:14" ht="24">
      <c r="B22" s="9">
        <v>15</v>
      </c>
      <c r="C22" s="7" t="s">
        <v>44</v>
      </c>
      <c r="D22" s="7" t="s">
        <v>45</v>
      </c>
      <c r="E22" s="11">
        <v>0.1</v>
      </c>
      <c r="F22" s="11">
        <v>1</v>
      </c>
      <c r="G22" s="14">
        <f>23288.2588*E22*F22</f>
        <v>2328.82588</v>
      </c>
      <c r="H22" s="14">
        <f>27987.92536795*E22*F22</f>
        <v>2798.792536795</v>
      </c>
      <c r="I22" s="14">
        <f t="shared" si="3"/>
        <v>0</v>
      </c>
      <c r="J22" s="14">
        <f>22170.4223776*E22*F22</f>
        <v>2217.0422377600003</v>
      </c>
      <c r="K22" s="14">
        <f>7711.8936872827*E22*F22</f>
        <v>771.18936872827</v>
      </c>
      <c r="L22" s="14">
        <f>4657.65176*E22*F22</f>
        <v>465.765176</v>
      </c>
      <c r="M22" s="14">
        <f t="shared" si="4"/>
        <v>8581.615199283271</v>
      </c>
      <c r="N22" s="18">
        <f>IF(N4&gt;0,(M22/$N$4/12),0)</f>
        <v>0.3575672999701363</v>
      </c>
    </row>
    <row r="23" spans="2:14" ht="12">
      <c r="B23" s="9">
        <v>16</v>
      </c>
      <c r="C23" s="7" t="s">
        <v>46</v>
      </c>
      <c r="D23" s="7" t="s">
        <v>47</v>
      </c>
      <c r="E23" s="11">
        <v>0.05</v>
      </c>
      <c r="F23" s="11">
        <v>1</v>
      </c>
      <c r="G23" s="14">
        <f>11258.6338*E23*F23</f>
        <v>562.93169</v>
      </c>
      <c r="H23" s="14">
        <f>566317.71091504*E23*F23</f>
        <v>28315.885545752</v>
      </c>
      <c r="I23" s="14">
        <f t="shared" si="3"/>
        <v>0</v>
      </c>
      <c r="J23" s="14">
        <f>10718.2193776*E23*F23</f>
        <v>535.91096888</v>
      </c>
      <c r="K23" s="14">
        <f>61770.929229727*E23*F23</f>
        <v>3088.5464614863504</v>
      </c>
      <c r="L23" s="14">
        <f>2251.72676*E23*F23</f>
        <v>112.58633800000001</v>
      </c>
      <c r="M23" s="14">
        <f t="shared" si="4"/>
        <v>32615.861004118357</v>
      </c>
      <c r="N23" s="18">
        <f>IF(N4&gt;0,(M23/$N$4/12),0)</f>
        <v>1.3589942085049316</v>
      </c>
    </row>
    <row r="24" spans="2:14" ht="24">
      <c r="B24" s="9">
        <v>17</v>
      </c>
      <c r="C24" s="7" t="s">
        <v>48</v>
      </c>
      <c r="D24" s="7" t="s">
        <v>49</v>
      </c>
      <c r="E24" s="11">
        <v>1</v>
      </c>
      <c r="F24" s="11">
        <v>4</v>
      </c>
      <c r="G24" s="14">
        <f>2147.80338*E24*F24</f>
        <v>8591.21352</v>
      </c>
      <c r="H24" s="14">
        <f>523.8127485*E24*F24</f>
        <v>2095.250994</v>
      </c>
      <c r="I24" s="14">
        <f t="shared" si="3"/>
        <v>0</v>
      </c>
      <c r="J24" s="14">
        <f>2044.70881776*E24*F24</f>
        <v>8178.83527104</v>
      </c>
      <c r="K24" s="14">
        <f>495.2141193573*E24*F24</f>
        <v>1980.8564774292</v>
      </c>
      <c r="L24" s="14">
        <f>429.560676*E24*F24</f>
        <v>1718.242704</v>
      </c>
      <c r="M24" s="14">
        <f t="shared" si="4"/>
        <v>22564.398966469198</v>
      </c>
      <c r="N24" s="18">
        <f>IF(N4&gt;0,(M24/$N$4/12),0)</f>
        <v>0.9401832902695499</v>
      </c>
    </row>
    <row r="25" spans="2:14" ht="24">
      <c r="B25" s="9">
        <v>18</v>
      </c>
      <c r="C25" s="7" t="s">
        <v>50</v>
      </c>
      <c r="D25" s="7" t="s">
        <v>51</v>
      </c>
      <c r="E25" s="11">
        <v>1</v>
      </c>
      <c r="F25" s="11">
        <v>1</v>
      </c>
      <c r="G25" s="14">
        <f>2239.04723*E25*F25</f>
        <v>2239.04723</v>
      </c>
      <c r="H25" s="14">
        <f>658.904650115*E25*F25</f>
        <v>658.904650115</v>
      </c>
      <c r="I25" s="14">
        <f t="shared" si="3"/>
        <v>0</v>
      </c>
      <c r="J25" s="14">
        <f>2131.57296296*E25*F25</f>
        <v>2131.57296296</v>
      </c>
      <c r="K25" s="14">
        <f>528.10010852288*E25*F25</f>
        <v>528.10010852288</v>
      </c>
      <c r="L25" s="14">
        <f>447.809446*E25*F25</f>
        <v>447.809446</v>
      </c>
      <c r="M25" s="14">
        <f t="shared" si="4"/>
        <v>6005.43439759788</v>
      </c>
      <c r="N25" s="18">
        <f>IF(N4&gt;0,(M25/$N$4/12),0)</f>
        <v>0.250226433233245</v>
      </c>
    </row>
    <row r="26" spans="2:14" ht="24">
      <c r="B26" s="9">
        <v>19</v>
      </c>
      <c r="C26" s="7" t="s">
        <v>52</v>
      </c>
      <c r="D26" s="7" t="s">
        <v>53</v>
      </c>
      <c r="E26" s="11">
        <v>2</v>
      </c>
      <c r="F26" s="11">
        <v>1</v>
      </c>
      <c r="G26" s="14">
        <f>101.885716*E26*F26</f>
        <v>203.771432</v>
      </c>
      <c r="H26" s="14">
        <f>168.86001328*E26*F26</f>
        <v>337.72002656</v>
      </c>
      <c r="I26" s="14">
        <f t="shared" si="3"/>
        <v>0</v>
      </c>
      <c r="J26" s="14">
        <f>96.995201632*E26*F26</f>
        <v>193.990403264</v>
      </c>
      <c r="K26" s="14">
        <f>38.61279774576*E26*F26</f>
        <v>77.22559549152</v>
      </c>
      <c r="L26" s="14">
        <f>20.3771432*E26*F26</f>
        <v>40.7542864</v>
      </c>
      <c r="M26" s="14">
        <f t="shared" si="4"/>
        <v>853.4617437155199</v>
      </c>
      <c r="N26" s="18">
        <f>IF(N4&gt;0,(M26/$N$4/12),0)</f>
        <v>0.03556090598814666</v>
      </c>
    </row>
    <row r="27" spans="2:14" ht="12">
      <c r="B27" s="9">
        <v>20</v>
      </c>
      <c r="C27" s="7" t="s">
        <v>54</v>
      </c>
      <c r="D27" s="7" t="s">
        <v>55</v>
      </c>
      <c r="E27" s="11">
        <v>1</v>
      </c>
      <c r="F27" s="11">
        <v>1</v>
      </c>
      <c r="G27" s="14">
        <f>170.077234*E27*F27</f>
        <v>170.077234</v>
      </c>
      <c r="H27" s="14">
        <f>360.272*E27*F27</f>
        <v>360.272</v>
      </c>
      <c r="I27" s="14">
        <f t="shared" si="3"/>
        <v>0</v>
      </c>
      <c r="J27" s="14">
        <f>161.913526768*E27*F27</f>
        <v>161.913526768</v>
      </c>
      <c r="K27" s="14">
        <f>72.68758988064*E27*F27</f>
        <v>72.68758988064</v>
      </c>
      <c r="L27" s="14">
        <f>34.0154468*E27*F27</f>
        <v>34.0154468</v>
      </c>
      <c r="M27" s="14">
        <f t="shared" si="4"/>
        <v>798.9657974486399</v>
      </c>
      <c r="N27" s="18">
        <f>IF(N4&gt;0,(M27/$N$4/12),0)</f>
        <v>0.03329024156036</v>
      </c>
    </row>
    <row r="28" spans="2:14" ht="24">
      <c r="B28" s="9">
        <v>21</v>
      </c>
      <c r="C28" s="7" t="s">
        <v>56</v>
      </c>
      <c r="D28" s="7" t="s">
        <v>57</v>
      </c>
      <c r="E28" s="11">
        <v>1</v>
      </c>
      <c r="F28" s="11">
        <v>1</v>
      </c>
      <c r="G28" s="14">
        <f>178.15204*E28*F28</f>
        <v>178.15204</v>
      </c>
      <c r="H28" s="14">
        <f>0*E28*F28</f>
        <v>0</v>
      </c>
      <c r="I28" s="14">
        <f t="shared" si="3"/>
        <v>0</v>
      </c>
      <c r="J28" s="14">
        <f>169.60074208*E28*F28</f>
        <v>169.60074208</v>
      </c>
      <c r="K28" s="14">
        <f>36.5140421184*E28*F28</f>
        <v>36.5140421184</v>
      </c>
      <c r="L28" s="14">
        <f>35.630408*E28*F28</f>
        <v>35.630408</v>
      </c>
      <c r="M28" s="14">
        <f t="shared" si="4"/>
        <v>419.89723219839993</v>
      </c>
      <c r="N28" s="18">
        <f>IF(N4&gt;0,(M28/$N$4/12),0)</f>
        <v>0.017495718008266662</v>
      </c>
    </row>
    <row r="29" spans="2:14" ht="12">
      <c r="B29" s="9">
        <v>22</v>
      </c>
      <c r="C29" s="7" t="s">
        <v>58</v>
      </c>
      <c r="D29" s="7" t="s">
        <v>59</v>
      </c>
      <c r="E29" s="11">
        <v>30</v>
      </c>
      <c r="F29" s="11">
        <v>2</v>
      </c>
      <c r="G29" s="14">
        <f>9.581816*E29*F29</f>
        <v>574.90896</v>
      </c>
      <c r="H29" s="14">
        <f>0*E29*F29</f>
        <v>0</v>
      </c>
      <c r="I29" s="14">
        <f t="shared" si="3"/>
        <v>0</v>
      </c>
      <c r="J29" s="14">
        <f>9.121888832*E29*F29</f>
        <v>547.31332992</v>
      </c>
      <c r="K29" s="14">
        <f>1.96388900736*E29*F29</f>
        <v>117.8333404416</v>
      </c>
      <c r="L29" s="14">
        <f>1.9163632*E29*F29</f>
        <v>114.981792</v>
      </c>
      <c r="M29" s="14">
        <f t="shared" si="4"/>
        <v>1355.0374223616002</v>
      </c>
      <c r="N29" s="18">
        <f>IF(N4&gt;0,(M29/$N$4/12),0)</f>
        <v>0.05645989259840001</v>
      </c>
    </row>
    <row r="30" spans="2:14" ht="24">
      <c r="B30" s="9">
        <v>23</v>
      </c>
      <c r="C30" s="7" t="s">
        <v>60</v>
      </c>
      <c r="D30" s="7" t="s">
        <v>53</v>
      </c>
      <c r="E30" s="11">
        <v>1</v>
      </c>
      <c r="F30" s="11">
        <v>2</v>
      </c>
      <c r="G30" s="14">
        <f>13.456604*E30*F30</f>
        <v>26.913208</v>
      </c>
      <c r="H30" s="14">
        <f>0*E30*F30</f>
        <v>0</v>
      </c>
      <c r="I30" s="14">
        <f t="shared" si="3"/>
        <v>0</v>
      </c>
      <c r="J30" s="14">
        <f>12.810687008*E30*F30</f>
        <v>25.621374016</v>
      </c>
      <c r="K30" s="14">
        <f>2.75806555584*E30*F30</f>
        <v>5.51613111168</v>
      </c>
      <c r="L30" s="14">
        <f>2.6913208*E30*F30</f>
        <v>5.3826416</v>
      </c>
      <c r="M30" s="14">
        <f t="shared" si="4"/>
        <v>63.43335472768</v>
      </c>
      <c r="N30" s="18">
        <f>IF(N4&gt;0,(M30/$N$4/12),0)</f>
        <v>0.0026430564469866664</v>
      </c>
    </row>
    <row r="31" spans="2:14" ht="48">
      <c r="B31" s="9">
        <v>24</v>
      </c>
      <c r="C31" s="7" t="s">
        <v>61</v>
      </c>
      <c r="D31" s="7" t="s">
        <v>57</v>
      </c>
      <c r="E31" s="11">
        <v>1</v>
      </c>
      <c r="F31" s="11">
        <v>2</v>
      </c>
      <c r="G31" s="14">
        <f>50.304534*E31*F31</f>
        <v>100.609068</v>
      </c>
      <c r="H31" s="14">
        <f>0*E31*F31</f>
        <v>0</v>
      </c>
      <c r="I31" s="14">
        <f t="shared" si="3"/>
        <v>0</v>
      </c>
      <c r="J31" s="14">
        <f>47.889916368*E31*F31</f>
        <v>95.779832736</v>
      </c>
      <c r="K31" s="14">
        <f>10.31041728864*E31*F31</f>
        <v>20.62083457728</v>
      </c>
      <c r="L31" s="14">
        <f>10.0609068*E31*F31</f>
        <v>20.1218136</v>
      </c>
      <c r="M31" s="14">
        <f t="shared" si="4"/>
        <v>237.13154891327997</v>
      </c>
      <c r="N31" s="18">
        <f>IF(N4&gt;0,(M31/$N$4/12),0)</f>
        <v>0.00988048120472</v>
      </c>
    </row>
    <row r="32" spans="2:14" ht="24">
      <c r="B32" s="9">
        <v>25</v>
      </c>
      <c r="C32" s="7" t="s">
        <v>62</v>
      </c>
      <c r="D32" s="7" t="s">
        <v>59</v>
      </c>
      <c r="E32" s="11">
        <v>1</v>
      </c>
      <c r="F32" s="11">
        <v>2</v>
      </c>
      <c r="G32" s="14">
        <f>13.456604*E32*F32</f>
        <v>26.913208</v>
      </c>
      <c r="H32" s="14">
        <f>0*E32*F32</f>
        <v>0</v>
      </c>
      <c r="I32" s="14">
        <f t="shared" si="3"/>
        <v>0</v>
      </c>
      <c r="J32" s="14">
        <f>12.810687008*E32*F32</f>
        <v>25.621374016</v>
      </c>
      <c r="K32" s="14">
        <f>2.75806555584*E32*F32</f>
        <v>5.51613111168</v>
      </c>
      <c r="L32" s="14">
        <f>2.6913208*E32*F32</f>
        <v>5.3826416</v>
      </c>
      <c r="M32" s="14">
        <f t="shared" si="4"/>
        <v>63.43335472768</v>
      </c>
      <c r="N32" s="18">
        <f>IF(N4&gt;0,(M32/$N$4/12),0)</f>
        <v>0.0026430564469866664</v>
      </c>
    </row>
    <row r="33" spans="2:14" ht="24">
      <c r="B33" s="9">
        <v>26</v>
      </c>
      <c r="C33" s="7" t="s">
        <v>63</v>
      </c>
      <c r="D33" s="7" t="s">
        <v>64</v>
      </c>
      <c r="E33" s="11">
        <v>1</v>
      </c>
      <c r="F33" s="11">
        <v>1</v>
      </c>
      <c r="G33" s="14">
        <f>285.059026*E33*F33</f>
        <v>285.059026</v>
      </c>
      <c r="H33" s="14">
        <f>594.92425224*E33*F33</f>
        <v>594.92425224</v>
      </c>
      <c r="I33" s="14">
        <f t="shared" si="3"/>
        <v>0</v>
      </c>
      <c r="J33" s="14">
        <f>271.376192752*E33*F33</f>
        <v>271.376192752</v>
      </c>
      <c r="K33" s="14">
        <f>120.89274445416*E33*F33</f>
        <v>120.89274445416</v>
      </c>
      <c r="L33" s="14">
        <f>57.0118052*E33*F33</f>
        <v>57.0118052</v>
      </c>
      <c r="M33" s="14">
        <f t="shared" si="4"/>
        <v>1329.2640206461601</v>
      </c>
      <c r="N33" s="18">
        <f>IF(N4&gt;0,(M33/$N$4/12),0)</f>
        <v>0.05538600086025667</v>
      </c>
    </row>
    <row r="34" spans="2:14" ht="24">
      <c r="B34" s="9">
        <v>27</v>
      </c>
      <c r="C34" s="7" t="s">
        <v>65</v>
      </c>
      <c r="D34" s="7" t="s">
        <v>66</v>
      </c>
      <c r="E34" s="11">
        <v>2</v>
      </c>
      <c r="F34" s="11">
        <v>1</v>
      </c>
      <c r="G34" s="14">
        <f>4934.63524*E34*F34</f>
        <v>9869.27048</v>
      </c>
      <c r="H34" s="14">
        <f>2469.80941284*E34*F34</f>
        <v>4939.61882568</v>
      </c>
      <c r="I34" s="14">
        <f t="shared" si="3"/>
        <v>0</v>
      </c>
      <c r="J34" s="14">
        <f>4697.77274848*E34*F34</f>
        <v>9395.54549696</v>
      </c>
      <c r="K34" s="14">
        <f>1270.7328271386*E34*F34</f>
        <v>2541.4656542772</v>
      </c>
      <c r="L34" s="14">
        <f>986.927048*E34*F34</f>
        <v>1973.854096</v>
      </c>
      <c r="M34" s="14">
        <f t="shared" si="4"/>
        <v>28719.754552917195</v>
      </c>
      <c r="N34" s="18">
        <f>IF(N4&gt;0,(M34/$N$4/12),0)</f>
        <v>1.1966564397048831</v>
      </c>
    </row>
    <row r="35" spans="2:14" ht="24">
      <c r="B35" s="9">
        <v>28</v>
      </c>
      <c r="C35" s="7" t="s">
        <v>67</v>
      </c>
      <c r="D35" s="7" t="s">
        <v>66</v>
      </c>
      <c r="E35" s="11">
        <v>2</v>
      </c>
      <c r="F35" s="11">
        <v>2</v>
      </c>
      <c r="G35" s="14">
        <f>82.934982*E35*F35</f>
        <v>331.739928</v>
      </c>
      <c r="H35" s="14">
        <f aca="true" t="shared" si="5" ref="H35:H54">0*E35*F35</f>
        <v>0</v>
      </c>
      <c r="I35" s="14">
        <f t="shared" si="3"/>
        <v>0</v>
      </c>
      <c r="J35" s="14">
        <f>78.954102864*E35*F35</f>
        <v>315.816411456</v>
      </c>
      <c r="K35" s="14">
        <f>16.99835391072*E35*F35</f>
        <v>67.99341564288</v>
      </c>
      <c r="L35" s="14">
        <f>16.5869964*E35*F35</f>
        <v>66.3479856</v>
      </c>
      <c r="M35" s="14">
        <f t="shared" si="4"/>
        <v>781.89774069888</v>
      </c>
      <c r="N35" s="18">
        <f>IF(N4&gt;0,(M35/$N$4/12),0)</f>
        <v>0.032579072529120005</v>
      </c>
    </row>
    <row r="36" spans="2:14" ht="24">
      <c r="B36" s="9">
        <v>29</v>
      </c>
      <c r="C36" s="7" t="s">
        <v>68</v>
      </c>
      <c r="D36" s="7" t="s">
        <v>66</v>
      </c>
      <c r="E36" s="11">
        <v>2</v>
      </c>
      <c r="F36" s="11">
        <v>2</v>
      </c>
      <c r="G36" s="14">
        <f>661.353318*E36*F36</f>
        <v>2645.413272</v>
      </c>
      <c r="H36" s="14">
        <f t="shared" si="5"/>
        <v>0</v>
      </c>
      <c r="I36" s="14">
        <f t="shared" si="3"/>
        <v>0</v>
      </c>
      <c r="J36" s="14">
        <f>629.608358736*E36*F36</f>
        <v>2518.433434944</v>
      </c>
      <c r="K36" s="14">
        <f>135.55097605728*E36*F36</f>
        <v>542.20390422912</v>
      </c>
      <c r="L36" s="14">
        <f>132.2706636*E36*F36</f>
        <v>529.0826544</v>
      </c>
      <c r="M36" s="14">
        <f t="shared" si="4"/>
        <v>6235.133265573119</v>
      </c>
      <c r="N36" s="18">
        <f>IF(N4&gt;0,(M36/$N$4/12),0)</f>
        <v>0.25979721939887995</v>
      </c>
    </row>
    <row r="37" spans="2:14" ht="24">
      <c r="B37" s="9">
        <v>30</v>
      </c>
      <c r="C37" s="7" t="s">
        <v>69</v>
      </c>
      <c r="D37" s="7" t="s">
        <v>66</v>
      </c>
      <c r="E37" s="11">
        <v>2</v>
      </c>
      <c r="F37" s="11">
        <v>2</v>
      </c>
      <c r="G37" s="14">
        <f>598.8635*E37*F37</f>
        <v>2395.454</v>
      </c>
      <c r="H37" s="14">
        <f t="shared" si="5"/>
        <v>0</v>
      </c>
      <c r="I37" s="14">
        <f t="shared" si="3"/>
        <v>0</v>
      </c>
      <c r="J37" s="14">
        <f>570.118052*E37*F37</f>
        <v>2280.472208</v>
      </c>
      <c r="K37" s="14">
        <f>122.74306296*E37*F37</f>
        <v>490.97225184</v>
      </c>
      <c r="L37" s="14">
        <f>119.7727*E37*F37</f>
        <v>479.0908</v>
      </c>
      <c r="M37" s="14">
        <f t="shared" si="4"/>
        <v>5645.989259840001</v>
      </c>
      <c r="N37" s="18">
        <f>IF(N4&gt;0,(M37/$N$4/12),0)</f>
        <v>0.23524955249333337</v>
      </c>
    </row>
    <row r="38" spans="2:14" ht="12">
      <c r="B38" s="9">
        <v>31</v>
      </c>
      <c r="C38" s="7" t="s">
        <v>70</v>
      </c>
      <c r="D38" s="7" t="s">
        <v>71</v>
      </c>
      <c r="E38" s="11">
        <v>0.5</v>
      </c>
      <c r="F38" s="11">
        <v>2</v>
      </c>
      <c r="G38" s="14">
        <f>503.04534*E38*F38</f>
        <v>503.04534</v>
      </c>
      <c r="H38" s="14">
        <f t="shared" si="5"/>
        <v>0</v>
      </c>
      <c r="I38" s="14">
        <f t="shared" si="3"/>
        <v>0</v>
      </c>
      <c r="J38" s="14">
        <f>478.89916368*E38*F38</f>
        <v>478.89916368</v>
      </c>
      <c r="K38" s="14">
        <f>103.1041728864*E38*F38</f>
        <v>103.1041728864</v>
      </c>
      <c r="L38" s="14">
        <f>100.609068*E38*F38</f>
        <v>100.609068</v>
      </c>
      <c r="M38" s="14">
        <f t="shared" si="4"/>
        <v>1185.6577445664</v>
      </c>
      <c r="N38" s="18">
        <f>IF(N4&gt;0,(M38/$N$4/12),0)</f>
        <v>0.0494024060236</v>
      </c>
    </row>
    <row r="39" spans="2:14" ht="12">
      <c r="B39" s="9">
        <v>32</v>
      </c>
      <c r="C39" s="7" t="s">
        <v>72</v>
      </c>
      <c r="D39" s="7" t="s">
        <v>71</v>
      </c>
      <c r="E39" s="11">
        <v>0.5</v>
      </c>
      <c r="F39" s="11">
        <v>2</v>
      </c>
      <c r="G39" s="14">
        <f>328.177198*E39*F39</f>
        <v>328.177198</v>
      </c>
      <c r="H39" s="14">
        <f t="shared" si="5"/>
        <v>0</v>
      </c>
      <c r="I39" s="14">
        <f t="shared" si="3"/>
        <v>0</v>
      </c>
      <c r="J39" s="14">
        <f>312.424692496*E39*F39</f>
        <v>312.424692496</v>
      </c>
      <c r="K39" s="14">
        <f>67.26319850208*E39*F39</f>
        <v>67.26319850208</v>
      </c>
      <c r="L39" s="14">
        <f>65.6354396*E39*F39</f>
        <v>65.6354396</v>
      </c>
      <c r="M39" s="14">
        <f t="shared" si="4"/>
        <v>773.50052859808</v>
      </c>
      <c r="N39" s="18">
        <f>IF(N4&gt;0,(M39/$N$4/12),0)</f>
        <v>0.03222918869158667</v>
      </c>
    </row>
    <row r="40" spans="2:14" ht="12">
      <c r="B40" s="9">
        <v>33</v>
      </c>
      <c r="C40" s="7" t="s">
        <v>73</v>
      </c>
      <c r="D40" s="7" t="s">
        <v>71</v>
      </c>
      <c r="E40" s="11">
        <v>0.5</v>
      </c>
      <c r="F40" s="11">
        <v>2</v>
      </c>
      <c r="G40" s="14">
        <f>268.290848*E40*F40</f>
        <v>268.290848</v>
      </c>
      <c r="H40" s="14">
        <f t="shared" si="5"/>
        <v>0</v>
      </c>
      <c r="I40" s="14">
        <f t="shared" si="3"/>
        <v>0</v>
      </c>
      <c r="J40" s="14">
        <f>255.412887296*E40*F40</f>
        <v>255.412887296</v>
      </c>
      <c r="K40" s="14">
        <f>54.98889220608*E40*F40</f>
        <v>54.98889220608</v>
      </c>
      <c r="L40" s="14">
        <f>53.6581696*E40*F40</f>
        <v>53.6581696</v>
      </c>
      <c r="M40" s="14">
        <f t="shared" si="4"/>
        <v>632.3507971020799</v>
      </c>
      <c r="N40" s="18">
        <f>IF(N4&gt;0,(M40/$N$4/12),0)</f>
        <v>0.026347949879253332</v>
      </c>
    </row>
    <row r="41" spans="2:14" ht="24">
      <c r="B41" s="9">
        <v>34</v>
      </c>
      <c r="C41" s="7" t="s">
        <v>74</v>
      </c>
      <c r="D41" s="7" t="s">
        <v>66</v>
      </c>
      <c r="E41" s="11">
        <v>2</v>
      </c>
      <c r="F41" s="11">
        <v>2</v>
      </c>
      <c r="G41" s="14">
        <f>958.1816*E41*F41</f>
        <v>3832.7264</v>
      </c>
      <c r="H41" s="14">
        <f t="shared" si="5"/>
        <v>0</v>
      </c>
      <c r="I41" s="14">
        <f t="shared" si="3"/>
        <v>0</v>
      </c>
      <c r="J41" s="14">
        <f>912.1888832*E41*F41</f>
        <v>3648.7555328</v>
      </c>
      <c r="K41" s="14">
        <f>196.388900736*E41*F41</f>
        <v>785.555602944</v>
      </c>
      <c r="L41" s="14">
        <f>191.63632*E41*F41</f>
        <v>766.54528</v>
      </c>
      <c r="M41" s="14">
        <f t="shared" si="4"/>
        <v>9033.582815744</v>
      </c>
      <c r="N41" s="18">
        <f>IF(N4&gt;0,(M41/$N$4/12),0)</f>
        <v>0.3763992839893333</v>
      </c>
    </row>
    <row r="42" spans="2:14" ht="24">
      <c r="B42" s="9">
        <v>35</v>
      </c>
      <c r="C42" s="7" t="s">
        <v>75</v>
      </c>
      <c r="D42" s="7" t="s">
        <v>66</v>
      </c>
      <c r="E42" s="11">
        <v>2</v>
      </c>
      <c r="F42" s="11">
        <v>2</v>
      </c>
      <c r="G42" s="14">
        <f>718.6362*E42*F42</f>
        <v>2874.5448</v>
      </c>
      <c r="H42" s="14">
        <f t="shared" si="5"/>
        <v>0</v>
      </c>
      <c r="I42" s="14">
        <f t="shared" si="3"/>
        <v>0</v>
      </c>
      <c r="J42" s="14">
        <f>684.1416624*E42*F42</f>
        <v>2736.5666496</v>
      </c>
      <c r="K42" s="14">
        <f>147.291675552*E42*F42</f>
        <v>589.166702208</v>
      </c>
      <c r="L42" s="14">
        <f>143.72724*E42*F42</f>
        <v>574.90896</v>
      </c>
      <c r="M42" s="14">
        <f t="shared" si="4"/>
        <v>6775.187111808</v>
      </c>
      <c r="N42" s="18">
        <f>IF(N4&gt;0,(M42/$N$4/12),0)</f>
        <v>0.282299462992</v>
      </c>
    </row>
    <row r="43" spans="2:14" ht="24">
      <c r="B43" s="9">
        <v>36</v>
      </c>
      <c r="C43" s="7" t="s">
        <v>76</v>
      </c>
      <c r="D43" s="7" t="s">
        <v>77</v>
      </c>
      <c r="E43" s="11">
        <v>1</v>
      </c>
      <c r="F43" s="11">
        <v>2</v>
      </c>
      <c r="G43" s="14">
        <f>622.81804*E43*F43</f>
        <v>1245.63608</v>
      </c>
      <c r="H43" s="14">
        <f t="shared" si="5"/>
        <v>0</v>
      </c>
      <c r="I43" s="14">
        <f t="shared" si="3"/>
        <v>0</v>
      </c>
      <c r="J43" s="14">
        <f>592.92277408*E43*F43</f>
        <v>1185.84554816</v>
      </c>
      <c r="K43" s="14">
        <f>127.6527854784*E43*F43</f>
        <v>255.3055709568</v>
      </c>
      <c r="L43" s="14">
        <f>124.563608*E43*F43</f>
        <v>249.127216</v>
      </c>
      <c r="M43" s="14">
        <f t="shared" si="4"/>
        <v>2935.9144151167993</v>
      </c>
      <c r="N43" s="18">
        <f>IF(N4&gt;0,(M43/$N$4/12),0)</f>
        <v>0.12232976729653332</v>
      </c>
    </row>
    <row r="44" spans="2:14" ht="24">
      <c r="B44" s="9">
        <v>37</v>
      </c>
      <c r="C44" s="7" t="s">
        <v>78</v>
      </c>
      <c r="D44" s="7" t="s">
        <v>79</v>
      </c>
      <c r="E44" s="11">
        <v>0.5</v>
      </c>
      <c r="F44" s="11">
        <v>2</v>
      </c>
      <c r="G44" s="14">
        <f>14372.724*E44*F44</f>
        <v>14372.724</v>
      </c>
      <c r="H44" s="14">
        <f t="shared" si="5"/>
        <v>0</v>
      </c>
      <c r="I44" s="14">
        <f t="shared" si="3"/>
        <v>0</v>
      </c>
      <c r="J44" s="14">
        <f>13682.833248*E44*F44</f>
        <v>13682.833248</v>
      </c>
      <c r="K44" s="14">
        <f>2945.83351104*E44*F44</f>
        <v>2945.83351104</v>
      </c>
      <c r="L44" s="14">
        <f>2874.5448*E44*F44</f>
        <v>2874.5448</v>
      </c>
      <c r="M44" s="14">
        <f t="shared" si="4"/>
        <v>33875.93555904</v>
      </c>
      <c r="N44" s="18">
        <f>IF(N4&gt;0,(M44/$N$4/12),0)</f>
        <v>1.41149731496</v>
      </c>
    </row>
    <row r="45" spans="2:14" ht="24">
      <c r="B45" s="9">
        <v>38</v>
      </c>
      <c r="C45" s="7" t="s">
        <v>80</v>
      </c>
      <c r="D45" s="7" t="s">
        <v>66</v>
      </c>
      <c r="E45" s="11">
        <v>2</v>
      </c>
      <c r="F45" s="11">
        <v>2</v>
      </c>
      <c r="G45" s="14">
        <f>893.14596*E45*F45</f>
        <v>3572.58384</v>
      </c>
      <c r="H45" s="14">
        <f t="shared" si="5"/>
        <v>0</v>
      </c>
      <c r="I45" s="14">
        <f t="shared" si="3"/>
        <v>0</v>
      </c>
      <c r="J45" s="14">
        <f>850.27495392*E45*F45</f>
        <v>3401.09981568</v>
      </c>
      <c r="K45" s="14">
        <f>183.0591959616*E45*F45</f>
        <v>732.2367838464</v>
      </c>
      <c r="L45" s="14">
        <f>178.629192*E45*F45</f>
        <v>714.516768</v>
      </c>
      <c r="M45" s="14">
        <f t="shared" si="4"/>
        <v>8420.4372075264</v>
      </c>
      <c r="N45" s="18">
        <f>IF(N4&gt;0,(M45/$N$4/12),0)</f>
        <v>0.3508515503136</v>
      </c>
    </row>
    <row r="46" spans="2:14" ht="24">
      <c r="B46" s="9">
        <v>39</v>
      </c>
      <c r="C46" s="7" t="s">
        <v>81</v>
      </c>
      <c r="D46" s="7" t="s">
        <v>66</v>
      </c>
      <c r="E46" s="11">
        <v>2</v>
      </c>
      <c r="F46" s="11">
        <v>2</v>
      </c>
      <c r="G46" s="14">
        <f>893.14596*E46*F46</f>
        <v>3572.58384</v>
      </c>
      <c r="H46" s="14">
        <f t="shared" si="5"/>
        <v>0</v>
      </c>
      <c r="I46" s="14">
        <f t="shared" si="3"/>
        <v>0</v>
      </c>
      <c r="J46" s="14">
        <f>850.27495392*E46*F46</f>
        <v>3401.09981568</v>
      </c>
      <c r="K46" s="14">
        <f>183.0591959616*E46*F46</f>
        <v>732.2367838464</v>
      </c>
      <c r="L46" s="14">
        <f>178.629192*E46*F46</f>
        <v>714.516768</v>
      </c>
      <c r="M46" s="14">
        <f t="shared" si="4"/>
        <v>8420.4372075264</v>
      </c>
      <c r="N46" s="18">
        <f>IF(N4&gt;0,(M46/$N$4/12),0)</f>
        <v>0.3508515503136</v>
      </c>
    </row>
    <row r="47" spans="2:14" ht="24">
      <c r="B47" s="9">
        <v>40</v>
      </c>
      <c r="C47" s="7" t="s">
        <v>82</v>
      </c>
      <c r="D47" s="7" t="s">
        <v>83</v>
      </c>
      <c r="E47" s="11">
        <v>0.09</v>
      </c>
      <c r="F47" s="11">
        <v>2</v>
      </c>
      <c r="G47" s="14">
        <f>2155.9086*E47*F47</f>
        <v>388.063548</v>
      </c>
      <c r="H47" s="14">
        <f t="shared" si="5"/>
        <v>0</v>
      </c>
      <c r="I47" s="14">
        <f t="shared" si="3"/>
        <v>0</v>
      </c>
      <c r="J47" s="14">
        <f>2052.4249872*E47*F47</f>
        <v>369.436497696</v>
      </c>
      <c r="K47" s="14">
        <f>441.875026656*E47*F47</f>
        <v>79.53750479808</v>
      </c>
      <c r="L47" s="14">
        <f>431.18172*E47*F47</f>
        <v>77.61270959999999</v>
      </c>
      <c r="M47" s="14">
        <f t="shared" si="4"/>
        <v>914.6502600940801</v>
      </c>
      <c r="N47" s="18">
        <f>IF(N4&gt;0,(M47/$N$4/12),0)</f>
        <v>0.03811042750392</v>
      </c>
    </row>
    <row r="48" spans="2:14" ht="12">
      <c r="B48" s="9">
        <v>41</v>
      </c>
      <c r="C48" s="7" t="s">
        <v>84</v>
      </c>
      <c r="D48" s="7" t="s">
        <v>85</v>
      </c>
      <c r="E48" s="11">
        <v>1</v>
      </c>
      <c r="F48" s="11">
        <v>1</v>
      </c>
      <c r="G48" s="14">
        <f>850.6152*E48*F48</f>
        <v>850.6152</v>
      </c>
      <c r="H48" s="14">
        <f t="shared" si="5"/>
        <v>0</v>
      </c>
      <c r="I48" s="14">
        <f t="shared" si="3"/>
        <v>0</v>
      </c>
      <c r="J48" s="14">
        <f>809.7856704*E48*F48</f>
        <v>809.7856704</v>
      </c>
      <c r="K48" s="14">
        <f>174.342091392*E48*F48</f>
        <v>174.342091392</v>
      </c>
      <c r="L48" s="14">
        <f>170.12304*E48*F48</f>
        <v>170.12304</v>
      </c>
      <c r="M48" s="14">
        <f t="shared" si="4"/>
        <v>2004.8660017919997</v>
      </c>
      <c r="N48" s="18">
        <f>IF(N4&gt;0,(M48/$N$4/12),0)</f>
        <v>0.08353608340799999</v>
      </c>
    </row>
    <row r="49" spans="2:14" ht="24">
      <c r="B49" s="9">
        <v>42</v>
      </c>
      <c r="C49" s="7" t="s">
        <v>86</v>
      </c>
      <c r="D49" s="7" t="s">
        <v>87</v>
      </c>
      <c r="E49" s="11">
        <v>1</v>
      </c>
      <c r="F49" s="11">
        <v>1</v>
      </c>
      <c r="G49" s="14">
        <f>890.7602*E49*F49</f>
        <v>890.7602</v>
      </c>
      <c r="H49" s="14">
        <f t="shared" si="5"/>
        <v>0</v>
      </c>
      <c r="I49" s="14">
        <f>83.07015*E49*F49</f>
        <v>83.07015</v>
      </c>
      <c r="J49" s="14">
        <f>848.0037104*E49*F49</f>
        <v>848.0037104</v>
      </c>
      <c r="K49" s="14">
        <f>191.292576342*E49*F49</f>
        <v>191.292576342</v>
      </c>
      <c r="L49" s="14">
        <f>178.15204*E49*F49</f>
        <v>178.15204</v>
      </c>
      <c r="M49" s="14">
        <f t="shared" si="4"/>
        <v>2191.2786767420002</v>
      </c>
      <c r="N49" s="18">
        <f>IF(N4&gt;0,(M49/$N$4/12),0)</f>
        <v>0.09130327819758334</v>
      </c>
    </row>
    <row r="50" spans="2:14" ht="24">
      <c r="B50" s="9">
        <v>43</v>
      </c>
      <c r="C50" s="7" t="s">
        <v>88</v>
      </c>
      <c r="D50" s="7" t="s">
        <v>87</v>
      </c>
      <c r="E50" s="11">
        <v>1</v>
      </c>
      <c r="F50" s="11">
        <v>1</v>
      </c>
      <c r="G50" s="14">
        <f>25.518456*E50*F50</f>
        <v>25.518456</v>
      </c>
      <c r="H50" s="14">
        <f t="shared" si="5"/>
        <v>0</v>
      </c>
      <c r="I50" s="14">
        <f>0*E50*F50</f>
        <v>0</v>
      </c>
      <c r="J50" s="14">
        <f>24.293570112*E50*F50</f>
        <v>24.293570112</v>
      </c>
      <c r="K50" s="14">
        <f>5.23026274176*E50*F50</f>
        <v>5.23026274176</v>
      </c>
      <c r="L50" s="14">
        <f>5.1036912*E50*F50</f>
        <v>5.1036912</v>
      </c>
      <c r="M50" s="14">
        <f t="shared" si="4"/>
        <v>60.14598005376</v>
      </c>
      <c r="N50" s="18">
        <f>IF(N4&gt;0,(M50/$N$4/12),0)</f>
        <v>0.0025060825022399998</v>
      </c>
    </row>
    <row r="51" spans="2:14" ht="24">
      <c r="B51" s="9">
        <v>44</v>
      </c>
      <c r="C51" s="7" t="s">
        <v>89</v>
      </c>
      <c r="D51" s="7" t="s">
        <v>90</v>
      </c>
      <c r="E51" s="11">
        <v>2</v>
      </c>
      <c r="F51" s="11">
        <v>1</v>
      </c>
      <c r="G51" s="14">
        <f>196.706652*E51*F51</f>
        <v>393.413304</v>
      </c>
      <c r="H51" s="14">
        <f t="shared" si="5"/>
        <v>0</v>
      </c>
      <c r="I51" s="14">
        <f>0*E51*F51</f>
        <v>0</v>
      </c>
      <c r="J51" s="14">
        <f>187.264732704*E51*F51</f>
        <v>374.529465408</v>
      </c>
      <c r="K51" s="14">
        <f>40.31699539392*E51*F51</f>
        <v>80.63399078784</v>
      </c>
      <c r="L51" s="14">
        <f>39.3413304*E51*F51</f>
        <v>78.6826608</v>
      </c>
      <c r="M51" s="14">
        <f t="shared" si="4"/>
        <v>927.2594209958401</v>
      </c>
      <c r="N51" s="18">
        <f>IF(N4&gt;0,(M51/$N$4/12),0)</f>
        <v>0.03863580920816</v>
      </c>
    </row>
    <row r="52" spans="2:14" ht="24">
      <c r="B52" s="9">
        <v>45</v>
      </c>
      <c r="C52" s="7" t="s">
        <v>91</v>
      </c>
      <c r="D52" s="7" t="s">
        <v>92</v>
      </c>
      <c r="E52" s="11">
        <v>0.05</v>
      </c>
      <c r="F52" s="11">
        <v>10</v>
      </c>
      <c r="G52" s="14">
        <f>11908.6128*E52*F52</f>
        <v>5954.3064</v>
      </c>
      <c r="H52" s="14">
        <f t="shared" si="5"/>
        <v>0</v>
      </c>
      <c r="I52" s="14">
        <f>0*E52*F52</f>
        <v>0</v>
      </c>
      <c r="J52" s="14">
        <f>11336.9993856*E52*F52</f>
        <v>5668.4996928</v>
      </c>
      <c r="K52" s="14">
        <f>2440.789279488*E52*F52</f>
        <v>1220.394639744</v>
      </c>
      <c r="L52" s="14">
        <f>2381.72256*E52*F52</f>
        <v>1190.86128</v>
      </c>
      <c r="M52" s="14">
        <f t="shared" si="4"/>
        <v>14034.062012544</v>
      </c>
      <c r="N52" s="18">
        <f>IF(N4&gt;0,(M52/$N$4/12),0)</f>
        <v>0.584752583856</v>
      </c>
    </row>
    <row r="53" spans="2:14" ht="24">
      <c r="B53" s="9">
        <v>46</v>
      </c>
      <c r="C53" s="7" t="s">
        <v>93</v>
      </c>
      <c r="D53" s="7" t="s">
        <v>94</v>
      </c>
      <c r="E53" s="11">
        <v>1</v>
      </c>
      <c r="F53" s="11">
        <v>12</v>
      </c>
      <c r="G53" s="14">
        <f>38.327264*E53*F53</f>
        <v>459.927168</v>
      </c>
      <c r="H53" s="14">
        <f t="shared" si="5"/>
        <v>0</v>
      </c>
      <c r="I53" s="14">
        <f>0*E53*F53</f>
        <v>0</v>
      </c>
      <c r="J53" s="14">
        <f>36.487555328*E53*F53</f>
        <v>437.850663936</v>
      </c>
      <c r="K53" s="14">
        <f>7.85555602944*E53*F53</f>
        <v>94.26667235328</v>
      </c>
      <c r="L53" s="14">
        <f>7.6654528*E53*F53</f>
        <v>91.9854336</v>
      </c>
      <c r="M53" s="14">
        <f t="shared" si="4"/>
        <v>1084.02993788928</v>
      </c>
      <c r="N53" s="18">
        <f>IF(N4&gt;0,(M53/$N$4/12),0)</f>
        <v>0.045167914078720006</v>
      </c>
    </row>
    <row r="54" spans="2:14" ht="84">
      <c r="B54" s="9">
        <v>47</v>
      </c>
      <c r="C54" s="7" t="s">
        <v>95</v>
      </c>
      <c r="D54" s="7" t="s">
        <v>96</v>
      </c>
      <c r="E54" s="11">
        <v>2</v>
      </c>
      <c r="F54" s="11">
        <v>2</v>
      </c>
      <c r="G54" s="14">
        <f>2442.503052*E54*F54</f>
        <v>9770.012208</v>
      </c>
      <c r="H54" s="14">
        <f t="shared" si="5"/>
        <v>0</v>
      </c>
      <c r="I54" s="14">
        <f>0*E54*F54</f>
        <v>0</v>
      </c>
      <c r="J54" s="14">
        <f>2325.262905504*E54*F54</f>
        <v>9301.051622016</v>
      </c>
      <c r="K54" s="14">
        <f>500.61542553792*E54*F54</f>
        <v>2002.46170215168</v>
      </c>
      <c r="L54" s="14">
        <f>488.5006104*E54*F54</f>
        <v>1954.0024416</v>
      </c>
      <c r="M54" s="14">
        <f t="shared" si="4"/>
        <v>23027.52797376768</v>
      </c>
      <c r="N54" s="18">
        <f>IF(N4&gt;0,(M54/$N$4/12),0)</f>
        <v>0.9594803322403199</v>
      </c>
    </row>
    <row r="55" spans="2:14" ht="19.5" customHeight="1">
      <c r="B55" s="43" t="s">
        <v>36</v>
      </c>
      <c r="C55" s="44"/>
      <c r="D55" s="44"/>
      <c r="E55" s="44"/>
      <c r="F55" s="44"/>
      <c r="G55" s="15">
        <f aca="true" t="shared" si="6" ref="G55:N55">SUM(G19:G54)</f>
        <v>94550.96087500002</v>
      </c>
      <c r="H55" s="15">
        <f t="shared" si="6"/>
        <v>43078.426612927484</v>
      </c>
      <c r="I55" s="15">
        <f t="shared" si="6"/>
        <v>83.07015</v>
      </c>
      <c r="J55" s="15">
        <f t="shared" si="6"/>
        <v>90012.51475300002</v>
      </c>
      <c r="K55" s="15">
        <f t="shared" si="6"/>
        <v>23911.12210104729</v>
      </c>
      <c r="L55" s="15">
        <f t="shared" si="6"/>
        <v>18910.192175</v>
      </c>
      <c r="M55" s="15">
        <f t="shared" si="6"/>
        <v>270546.2866669748</v>
      </c>
      <c r="N55" s="19">
        <f t="shared" si="6"/>
        <v>11.272761944457281</v>
      </c>
    </row>
    <row r="56" spans="2:14" ht="21.75" customHeight="1">
      <c r="B56" s="39" t="s">
        <v>97</v>
      </c>
      <c r="C56" s="40"/>
      <c r="D56" s="40"/>
      <c r="E56" s="40"/>
      <c r="F56" s="40"/>
      <c r="G56" s="41"/>
      <c r="H56" s="41"/>
      <c r="I56" s="41"/>
      <c r="J56" s="41"/>
      <c r="K56" s="41"/>
      <c r="L56" s="41"/>
      <c r="M56" s="41"/>
      <c r="N56" s="42"/>
    </row>
    <row r="57" spans="2:14" ht="24">
      <c r="B57" s="8">
        <v>48</v>
      </c>
      <c r="C57" s="6" t="s">
        <v>98</v>
      </c>
      <c r="D57" s="6" t="s">
        <v>99</v>
      </c>
      <c r="E57" s="10">
        <v>1</v>
      </c>
      <c r="F57" s="10">
        <v>104</v>
      </c>
      <c r="G57" s="13">
        <f>349.1027552*E57*F57</f>
        <v>36306.6865408</v>
      </c>
      <c r="H57" s="13">
        <f>57.43882*E57*F57</f>
        <v>5973.63728</v>
      </c>
      <c r="I57" s="13">
        <f aca="true" t="shared" si="7" ref="I57:I69">0*E57*F57</f>
        <v>0</v>
      </c>
      <c r="J57" s="13">
        <f>332.3458229504*E57*F57</f>
        <v>34563.9655868416</v>
      </c>
      <c r="K57" s="13">
        <f>77.583176805792*E57*F57</f>
        <v>8068.650387802367</v>
      </c>
      <c r="L57" s="13">
        <f>69.82055104*E57*F57</f>
        <v>7261.33730816</v>
      </c>
      <c r="M57" s="13">
        <f aca="true" t="shared" si="8" ref="M57:M69">SUM(G57:L57)</f>
        <v>92174.27710360396</v>
      </c>
      <c r="N57" s="17">
        <f>IF(N4&gt;0,(M57/$N$4/12),0)</f>
        <v>3.840594879316832</v>
      </c>
    </row>
    <row r="58" spans="2:14" ht="24">
      <c r="B58" s="9">
        <v>49</v>
      </c>
      <c r="C58" s="7" t="s">
        <v>100</v>
      </c>
      <c r="D58" s="7" t="s">
        <v>101</v>
      </c>
      <c r="E58" s="11">
        <v>1</v>
      </c>
      <c r="F58" s="11">
        <v>2</v>
      </c>
      <c r="G58" s="14">
        <f>435.8017324*E58*F58</f>
        <v>871.6034648</v>
      </c>
      <c r="H58" s="14">
        <f>35.376165*E58*F58</f>
        <v>70.75233</v>
      </c>
      <c r="I58" s="14">
        <f t="shared" si="7"/>
        <v>0</v>
      </c>
      <c r="J58" s="14">
        <f>414.8832492448*E58*F58</f>
        <v>829.7664984896</v>
      </c>
      <c r="K58" s="14">
        <f>93.036420397704*E58*F58</f>
        <v>186.072840795408</v>
      </c>
      <c r="L58" s="14">
        <f>87.16034648*E58*F58</f>
        <v>174.32069296</v>
      </c>
      <c r="M58" s="14">
        <f t="shared" si="8"/>
        <v>2132.515827045008</v>
      </c>
      <c r="N58" s="18">
        <f>IF(N4&gt;0,(M58/$N$4/12),0)</f>
        <v>0.08885482612687533</v>
      </c>
    </row>
    <row r="59" spans="2:14" ht="24">
      <c r="B59" s="9">
        <v>50</v>
      </c>
      <c r="C59" s="7" t="s">
        <v>102</v>
      </c>
      <c r="D59" s="7" t="s">
        <v>103</v>
      </c>
      <c r="E59" s="11">
        <v>0.5</v>
      </c>
      <c r="F59" s="11">
        <v>2</v>
      </c>
      <c r="G59" s="14">
        <f>438.8775276*E59*F59</f>
        <v>438.8775276</v>
      </c>
      <c r="H59" s="14">
        <f>52.162455*E59*F59</f>
        <v>52.162455</v>
      </c>
      <c r="I59" s="14">
        <f t="shared" si="7"/>
        <v>0</v>
      </c>
      <c r="J59" s="14">
        <f>417.8114062752*E59*F59</f>
        <v>417.8114062752</v>
      </c>
      <c r="K59" s="14">
        <f>95.429395831896*E59*F59</f>
        <v>95.429395831896</v>
      </c>
      <c r="L59" s="14">
        <f>87.77550552*E59*F59</f>
        <v>87.77550552</v>
      </c>
      <c r="M59" s="14">
        <f t="shared" si="8"/>
        <v>1092.056290227096</v>
      </c>
      <c r="N59" s="18">
        <f>IF(N4&gt;0,(M59/$N$4/12),0)</f>
        <v>0.045502345426129</v>
      </c>
    </row>
    <row r="60" spans="2:14" ht="24">
      <c r="B60" s="9">
        <v>51</v>
      </c>
      <c r="C60" s="7" t="s">
        <v>104</v>
      </c>
      <c r="D60" s="7" t="s">
        <v>105</v>
      </c>
      <c r="E60" s="11">
        <v>1</v>
      </c>
      <c r="F60" s="11">
        <v>2</v>
      </c>
      <c r="G60" s="14">
        <f>419.6538076*E60*F60</f>
        <v>839.3076152</v>
      </c>
      <c r="H60" s="14">
        <f>52.162455*E60*F60</f>
        <v>104.32491</v>
      </c>
      <c r="I60" s="14">
        <f t="shared" si="7"/>
        <v>0</v>
      </c>
      <c r="J60" s="14">
        <f>399.5104248352*E60*F60</f>
        <v>799.0208496704</v>
      </c>
      <c r="K60" s="14">
        <f>91.489302180696*E60*F60</f>
        <v>182.978604361392</v>
      </c>
      <c r="L60" s="14">
        <f>83.93076152*E60*F60</f>
        <v>167.86152304</v>
      </c>
      <c r="M60" s="14">
        <f t="shared" si="8"/>
        <v>2093.493502271792</v>
      </c>
      <c r="N60" s="18">
        <f>IF(N4&gt;0,(M60/$N$4/12),0)</f>
        <v>0.08722889592799132</v>
      </c>
    </row>
    <row r="61" spans="2:14" ht="24">
      <c r="B61" s="9">
        <v>52</v>
      </c>
      <c r="C61" s="7" t="s">
        <v>106</v>
      </c>
      <c r="D61" s="7" t="s">
        <v>107</v>
      </c>
      <c r="E61" s="11">
        <v>1</v>
      </c>
      <c r="F61" s="11">
        <v>1</v>
      </c>
      <c r="G61" s="14">
        <f>205.1170924*E61*F61</f>
        <v>205.1170924</v>
      </c>
      <c r="H61" s="14">
        <f>42.76539*E61*F61</f>
        <v>42.76539</v>
      </c>
      <c r="I61" s="14">
        <f t="shared" si="7"/>
        <v>0</v>
      </c>
      <c r="J61" s="14">
        <f>195.2714719648*E61*F61</f>
        <v>195.2714719648</v>
      </c>
      <c r="K61" s="14">
        <f>46.531165208304*E61*F61</f>
        <v>46.531165208304</v>
      </c>
      <c r="L61" s="14">
        <f>41.02341848*E61*F61</f>
        <v>41.02341848</v>
      </c>
      <c r="M61" s="14">
        <f t="shared" si="8"/>
        <v>530.708538053104</v>
      </c>
      <c r="N61" s="18">
        <f>IF(N4&gt;0,(M61/$N$4/12),0)</f>
        <v>0.022112855752212668</v>
      </c>
    </row>
    <row r="62" spans="2:14" ht="24">
      <c r="B62" s="9">
        <v>53</v>
      </c>
      <c r="C62" s="7" t="s">
        <v>108</v>
      </c>
      <c r="D62" s="7" t="s">
        <v>109</v>
      </c>
      <c r="E62" s="11">
        <v>1</v>
      </c>
      <c r="F62" s="11">
        <v>1</v>
      </c>
      <c r="G62" s="14">
        <f>349.2949924*E62*F62</f>
        <v>349.2949924</v>
      </c>
      <c r="H62" s="14">
        <f>42.76539*E62*F62</f>
        <v>42.76539</v>
      </c>
      <c r="I62" s="14">
        <f t="shared" si="7"/>
        <v>0</v>
      </c>
      <c r="J62" s="14">
        <f>332.5288327648*E62*F62</f>
        <v>332.5288327648</v>
      </c>
      <c r="K62" s="14">
        <f>76.081867592304*E62*F62</f>
        <v>76.081867592304</v>
      </c>
      <c r="L62" s="14">
        <f>69.85899848*E62*F62</f>
        <v>69.85899848</v>
      </c>
      <c r="M62" s="14">
        <f t="shared" si="8"/>
        <v>870.5300812371039</v>
      </c>
      <c r="N62" s="18">
        <f>IF(N4&gt;0,(M62/$N$4/12),0)</f>
        <v>0.03627208671821266</v>
      </c>
    </row>
    <row r="63" spans="2:14" ht="24">
      <c r="B63" s="9">
        <v>54</v>
      </c>
      <c r="C63" s="7" t="s">
        <v>110</v>
      </c>
      <c r="D63" s="7" t="s">
        <v>111</v>
      </c>
      <c r="E63" s="11">
        <v>0.2</v>
      </c>
      <c r="F63" s="11">
        <v>4</v>
      </c>
      <c r="G63" s="14">
        <f>238.117348*E63*F63</f>
        <v>190.4938784</v>
      </c>
      <c r="H63" s="14">
        <f>1.123791875*E63*F63</f>
        <v>0.8990335</v>
      </c>
      <c r="I63" s="14">
        <f t="shared" si="7"/>
        <v>0</v>
      </c>
      <c r="J63" s="14">
        <f>226.687715296*E63*F63</f>
        <v>181.3501722368</v>
      </c>
      <c r="K63" s="14">
        <f>48.922529792955*E63*F63</f>
        <v>39.138023834364</v>
      </c>
      <c r="L63" s="14">
        <f>47.6234696*E63*F63</f>
        <v>38.09877568</v>
      </c>
      <c r="M63" s="14">
        <f t="shared" si="8"/>
        <v>449.979883651164</v>
      </c>
      <c r="N63" s="18">
        <f>IF(N4&gt;0,(M63/$N$4/12),0)</f>
        <v>0.0187491618187985</v>
      </c>
    </row>
    <row r="64" spans="2:14" ht="12">
      <c r="B64" s="9">
        <v>55</v>
      </c>
      <c r="C64" s="7" t="s">
        <v>112</v>
      </c>
      <c r="D64" s="7" t="s">
        <v>113</v>
      </c>
      <c r="E64" s="11">
        <v>0.04</v>
      </c>
      <c r="F64" s="11">
        <v>104</v>
      </c>
      <c r="G64" s="14">
        <f>431.475796*E64*F64</f>
        <v>1794.9393113600001</v>
      </c>
      <c r="H64" s="14">
        <f>449.51675*E64*F64</f>
        <v>1869.98968</v>
      </c>
      <c r="I64" s="14">
        <f t="shared" si="7"/>
        <v>0</v>
      </c>
      <c r="J64" s="14">
        <f>410.764957792*E64*F64</f>
        <v>1708.78222441472</v>
      </c>
      <c r="K64" s="14">
        <f>135.63453789816*E64*F64</f>
        <v>564.2396776563456</v>
      </c>
      <c r="L64" s="14">
        <f>86.2951592*E64*F64</f>
        <v>358.98786227200003</v>
      </c>
      <c r="M64" s="14">
        <f t="shared" si="8"/>
        <v>6296.938755703065</v>
      </c>
      <c r="N64" s="18">
        <f>IF(N4&gt;0,(M64/$N$4/12),0)</f>
        <v>0.2623724481542944</v>
      </c>
    </row>
    <row r="65" spans="2:14" ht="24">
      <c r="B65" s="9">
        <v>56</v>
      </c>
      <c r="C65" s="7" t="s">
        <v>114</v>
      </c>
      <c r="D65" s="7" t="s">
        <v>115</v>
      </c>
      <c r="E65" s="11">
        <v>1</v>
      </c>
      <c r="F65" s="11">
        <v>4</v>
      </c>
      <c r="G65" s="14">
        <f>21.484272*E65*F65</f>
        <v>85.937088</v>
      </c>
      <c r="H65" s="14">
        <f>0*E65*F65</f>
        <v>0</v>
      </c>
      <c r="I65" s="14">
        <f t="shared" si="7"/>
        <v>0</v>
      </c>
      <c r="J65" s="14">
        <f>20.453026944*E65*F65</f>
        <v>81.812107776</v>
      </c>
      <c r="K65" s="14">
        <f>4.40341638912*E65*F65</f>
        <v>17.61366555648</v>
      </c>
      <c r="L65" s="14">
        <f>4.2968544*E65*F65</f>
        <v>17.1874176</v>
      </c>
      <c r="M65" s="14">
        <f t="shared" si="8"/>
        <v>202.55027893248</v>
      </c>
      <c r="N65" s="18">
        <f>IF(N4&gt;0,(M65/$N$4/12),0)</f>
        <v>0.00843959495552</v>
      </c>
    </row>
    <row r="66" spans="2:14" ht="24">
      <c r="B66" s="9">
        <v>57</v>
      </c>
      <c r="C66" s="7" t="s">
        <v>116</v>
      </c>
      <c r="D66" s="7" t="s">
        <v>117</v>
      </c>
      <c r="E66" s="11">
        <v>5</v>
      </c>
      <c r="F66" s="11">
        <v>4</v>
      </c>
      <c r="G66" s="14">
        <f>483.39612*E66*F66</f>
        <v>9667.9224</v>
      </c>
      <c r="H66" s="14">
        <f>0*E66*F66</f>
        <v>0</v>
      </c>
      <c r="I66" s="14">
        <f t="shared" si="7"/>
        <v>0</v>
      </c>
      <c r="J66" s="14">
        <f>460.19310624*E66*F66</f>
        <v>9203.8621248</v>
      </c>
      <c r="K66" s="14">
        <f>99.0768687552*E66*F66</f>
        <v>1981.537375104</v>
      </c>
      <c r="L66" s="14">
        <f>96.679224*E66*F66</f>
        <v>1933.58448</v>
      </c>
      <c r="M66" s="14">
        <f t="shared" si="8"/>
        <v>22786.906379904</v>
      </c>
      <c r="N66" s="18">
        <f>IF(N4&gt;0,(M66/$N$4/12),0)</f>
        <v>0.949454432496</v>
      </c>
    </row>
    <row r="67" spans="2:14" ht="24">
      <c r="B67" s="9">
        <v>58</v>
      </c>
      <c r="C67" s="7" t="s">
        <v>118</v>
      </c>
      <c r="D67" s="7" t="s">
        <v>119</v>
      </c>
      <c r="E67" s="11">
        <v>1</v>
      </c>
      <c r="F67" s="11">
        <v>52</v>
      </c>
      <c r="G67" s="14">
        <f>247.069128*E67*F67</f>
        <v>12847.594656000001</v>
      </c>
      <c r="H67" s="14">
        <f>0*E67*F67</f>
        <v>0</v>
      </c>
      <c r="I67" s="14">
        <f t="shared" si="7"/>
        <v>0</v>
      </c>
      <c r="J67" s="14">
        <f>235.209809856*E67*F67</f>
        <v>12230.910112512</v>
      </c>
      <c r="K67" s="14">
        <f>50.63928847488*E67*F67</f>
        <v>2633.2430006937598</v>
      </c>
      <c r="L67" s="14">
        <f>49.4138256*E67*F67</f>
        <v>2569.5189312</v>
      </c>
      <c r="M67" s="14">
        <f t="shared" si="8"/>
        <v>30281.266700405762</v>
      </c>
      <c r="N67" s="18">
        <f>IF(N4&gt;0,(M67/$N$4/12),0)</f>
        <v>1.26171944585024</v>
      </c>
    </row>
    <row r="68" spans="2:14" ht="24">
      <c r="B68" s="9">
        <v>59</v>
      </c>
      <c r="C68" s="7" t="s">
        <v>120</v>
      </c>
      <c r="D68" s="7" t="s">
        <v>119</v>
      </c>
      <c r="E68" s="11">
        <v>1</v>
      </c>
      <c r="F68" s="11">
        <v>52</v>
      </c>
      <c r="G68" s="14">
        <f>45.654078*E68*F68</f>
        <v>2374.012056</v>
      </c>
      <c r="H68" s="14">
        <f>0.2112728725*E68*F68</f>
        <v>10.98618937</v>
      </c>
      <c r="I68" s="14">
        <f t="shared" si="7"/>
        <v>0</v>
      </c>
      <c r="J68" s="14">
        <f>43.462682256*E68*F68</f>
        <v>2260.059477312</v>
      </c>
      <c r="K68" s="14">
        <f>9.3794434784925*E68*F68</f>
        <v>487.73106088160995</v>
      </c>
      <c r="L68" s="14">
        <f>9.1308156*E68*F68</f>
        <v>474.8024112</v>
      </c>
      <c r="M68" s="14">
        <f t="shared" si="8"/>
        <v>5607.5911947636105</v>
      </c>
      <c r="N68" s="18">
        <f>IF(N4&gt;0,(M68/$N$4/12),0)</f>
        <v>0.23364963311515044</v>
      </c>
    </row>
    <row r="69" spans="2:14" ht="36">
      <c r="B69" s="9">
        <v>60</v>
      </c>
      <c r="C69" s="7" t="s">
        <v>121</v>
      </c>
      <c r="D69" s="7" t="s">
        <v>122</v>
      </c>
      <c r="E69" s="11">
        <v>0.5</v>
      </c>
      <c r="F69" s="11">
        <v>2</v>
      </c>
      <c r="G69" s="14">
        <f>1190.86128*E69*F69</f>
        <v>1190.86128</v>
      </c>
      <c r="H69" s="14">
        <f>44.4288*E69*F69</f>
        <v>44.4288</v>
      </c>
      <c r="I69" s="14">
        <f t="shared" si="7"/>
        <v>0</v>
      </c>
      <c r="J69" s="14">
        <f>1133.69993856*E69*F69</f>
        <v>1133.69993856</v>
      </c>
      <c r="K69" s="14">
        <f>248.7439519488*E69*F69</f>
        <v>248.7439519488</v>
      </c>
      <c r="L69" s="14">
        <f>238.172256*E69*F69</f>
        <v>238.172256</v>
      </c>
      <c r="M69" s="14">
        <f t="shared" si="8"/>
        <v>2855.9062265087996</v>
      </c>
      <c r="N69" s="18">
        <f>IF(N4&gt;0,(M69/$N$4/12),0)</f>
        <v>0.11899609277119999</v>
      </c>
    </row>
    <row r="70" spans="2:14" ht="12.75">
      <c r="B70" s="43" t="s">
        <v>36</v>
      </c>
      <c r="C70" s="44"/>
      <c r="D70" s="44"/>
      <c r="E70" s="44"/>
      <c r="F70" s="44"/>
      <c r="G70" s="15">
        <f aca="true" t="shared" si="9" ref="G70:N70">SUM(G57:G69)</f>
        <v>67162.64790296</v>
      </c>
      <c r="H70" s="15">
        <f t="shared" si="9"/>
        <v>8212.711457869998</v>
      </c>
      <c r="I70" s="15">
        <f t="shared" si="9"/>
        <v>0</v>
      </c>
      <c r="J70" s="15">
        <f t="shared" si="9"/>
        <v>63938.84080361792</v>
      </c>
      <c r="K70" s="15">
        <f t="shared" si="9"/>
        <v>14627.99101726703</v>
      </c>
      <c r="L70" s="15">
        <f t="shared" si="9"/>
        <v>13432.529580592</v>
      </c>
      <c r="M70" s="15">
        <f t="shared" si="9"/>
        <v>167374.72076230694</v>
      </c>
      <c r="N70" s="19">
        <f t="shared" si="9"/>
        <v>6.973946698429455</v>
      </c>
    </row>
    <row r="71" spans="2:14" ht="27.75" customHeight="1">
      <c r="B71" s="45" t="s">
        <v>123</v>
      </c>
      <c r="C71" s="46"/>
      <c r="D71" s="46"/>
      <c r="E71" s="46"/>
      <c r="F71" s="46"/>
      <c r="G71" s="20">
        <f aca="true" t="shared" si="10" ref="G71:N71">G17+G55+G70</f>
        <v>187386.87009176</v>
      </c>
      <c r="H71" s="20">
        <f t="shared" si="10"/>
        <v>79261.46474346868</v>
      </c>
      <c r="I71" s="20">
        <f t="shared" si="10"/>
        <v>1417.3400370000002</v>
      </c>
      <c r="J71" s="20">
        <f t="shared" si="10"/>
        <v>178803.14635670593</v>
      </c>
      <c r="K71" s="20">
        <f t="shared" si="10"/>
        <v>46921.22622903796</v>
      </c>
      <c r="L71" s="20">
        <f t="shared" si="10"/>
        <v>37563.686209392</v>
      </c>
      <c r="M71" s="20">
        <f t="shared" si="10"/>
        <v>531353.7336673646</v>
      </c>
      <c r="N71" s="21">
        <f t="shared" si="10"/>
        <v>22.139738902806855</v>
      </c>
    </row>
    <row r="75" spans="3:14" ht="18">
      <c r="C75" s="47" t="s">
        <v>124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3:11" ht="19.5" customHeight="1">
      <c r="C76" s="48" t="s">
        <v>125</v>
      </c>
      <c r="D76" s="36"/>
      <c r="E76" s="49">
        <f>G71</f>
        <v>187386.87009176</v>
      </c>
      <c r="F76" s="36"/>
      <c r="G76" s="48" t="s">
        <v>126</v>
      </c>
      <c r="H76" s="36"/>
      <c r="I76" s="36"/>
      <c r="J76" s="49">
        <f>J71</f>
        <v>178803.14635670593</v>
      </c>
      <c r="K76" s="36"/>
    </row>
    <row r="77" spans="3:11" ht="19.5" customHeight="1">
      <c r="C77" s="48" t="s">
        <v>127</v>
      </c>
      <c r="D77" s="36"/>
      <c r="E77" s="49">
        <f>H71</f>
        <v>79261.46474346868</v>
      </c>
      <c r="F77" s="36"/>
      <c r="G77" s="48" t="s">
        <v>128</v>
      </c>
      <c r="H77" s="36"/>
      <c r="I77" s="36"/>
      <c r="J77" s="49">
        <f>K71</f>
        <v>46921.22622903796</v>
      </c>
      <c r="K77" s="36"/>
    </row>
    <row r="78" spans="3:11" ht="19.5" customHeight="1">
      <c r="C78" s="48" t="s">
        <v>129</v>
      </c>
      <c r="D78" s="36"/>
      <c r="E78" s="49">
        <f>I71</f>
        <v>1417.3400370000002</v>
      </c>
      <c r="F78" s="36"/>
      <c r="G78" s="48" t="s">
        <v>130</v>
      </c>
      <c r="H78" s="36"/>
      <c r="I78" s="36"/>
      <c r="J78" s="49">
        <f>L71</f>
        <v>37563.686209392</v>
      </c>
      <c r="K78" s="36"/>
    </row>
    <row r="79" spans="3:11" ht="15">
      <c r="C79" s="5"/>
      <c r="E79" s="22"/>
      <c r="G79" s="48" t="s">
        <v>131</v>
      </c>
      <c r="H79" s="36"/>
      <c r="I79" s="36"/>
      <c r="J79" s="49">
        <f>M71</f>
        <v>531353.7336673646</v>
      </c>
      <c r="K79" s="36"/>
    </row>
  </sheetData>
  <sheetProtection formatCells="0" formatColumns="0" formatRows="0" insertColumns="0" insertRows="0" insertHyperlinks="0" deleteColumns="0" deleteRows="0" sort="0" autoFilter="0" pivotTables="0"/>
  <mergeCells count="25">
    <mergeCell ref="G79:I79"/>
    <mergeCell ref="J79:K79"/>
    <mergeCell ref="C77:D77"/>
    <mergeCell ref="E77:F77"/>
    <mergeCell ref="G77:I77"/>
    <mergeCell ref="J77:K77"/>
    <mergeCell ref="C78:D78"/>
    <mergeCell ref="E78:F78"/>
    <mergeCell ref="G78:I78"/>
    <mergeCell ref="J78:K78"/>
    <mergeCell ref="B55:F55"/>
    <mergeCell ref="B56:N56"/>
    <mergeCell ref="B70:F70"/>
    <mergeCell ref="B71:F71"/>
    <mergeCell ref="C75:N75"/>
    <mergeCell ref="C76:D76"/>
    <mergeCell ref="E76:F76"/>
    <mergeCell ref="G76:I76"/>
    <mergeCell ref="J76:K76"/>
    <mergeCell ref="B1:M1"/>
    <mergeCell ref="B4:K4"/>
    <mergeCell ref="L4:M4"/>
    <mergeCell ref="B5:N5"/>
    <mergeCell ref="B17:F17"/>
    <mergeCell ref="B18:N18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workbookViewId="0" topLeftCell="B1">
      <selection activeCell="B136" sqref="B136:G136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0" t="s">
        <v>132</v>
      </c>
      <c r="C1" s="50"/>
      <c r="D1" s="50"/>
      <c r="E1" s="50"/>
      <c r="F1" s="50"/>
      <c r="G1" s="50"/>
    </row>
    <row r="3" spans="1:7" ht="27">
      <c r="A3" s="23"/>
      <c r="B3" s="24" t="s">
        <v>0</v>
      </c>
      <c r="C3" s="24" t="s">
        <v>133</v>
      </c>
      <c r="D3" s="24" t="s">
        <v>134</v>
      </c>
      <c r="E3" s="24" t="s">
        <v>3</v>
      </c>
      <c r="F3" s="24" t="s">
        <v>135</v>
      </c>
      <c r="G3" s="25" t="s">
        <v>11</v>
      </c>
    </row>
    <row r="4" spans="2:7" ht="16.5">
      <c r="B4" s="51" t="s">
        <v>136</v>
      </c>
      <c r="C4" s="51"/>
      <c r="D4" s="51"/>
      <c r="E4" s="51"/>
      <c r="F4" s="51"/>
      <c r="G4" s="51"/>
    </row>
    <row r="5" spans="2:7" ht="12">
      <c r="B5" s="26">
        <v>1</v>
      </c>
      <c r="C5" s="28" t="s">
        <v>137</v>
      </c>
      <c r="D5" s="28" t="s">
        <v>138</v>
      </c>
      <c r="E5" s="29">
        <v>11.95</v>
      </c>
      <c r="F5" s="30">
        <v>192.23719999999997</v>
      </c>
      <c r="G5" s="31">
        <f aca="true" t="shared" si="0" ref="G5:G42">E5*F5</f>
        <v>2297.2345399999995</v>
      </c>
    </row>
    <row r="6" spans="2:7" ht="12">
      <c r="B6" s="27">
        <v>2</v>
      </c>
      <c r="C6" s="7" t="s">
        <v>139</v>
      </c>
      <c r="D6" s="7" t="s">
        <v>138</v>
      </c>
      <c r="E6" s="12">
        <v>25.326</v>
      </c>
      <c r="F6" s="14">
        <v>201.1986</v>
      </c>
      <c r="G6" s="32">
        <f t="shared" si="0"/>
        <v>5095.5557436</v>
      </c>
    </row>
    <row r="7" spans="2:7" ht="12">
      <c r="B7" s="27">
        <v>3</v>
      </c>
      <c r="C7" s="7" t="s">
        <v>140</v>
      </c>
      <c r="D7" s="7" t="s">
        <v>138</v>
      </c>
      <c r="E7" s="12">
        <v>14.44</v>
      </c>
      <c r="F7" s="14">
        <v>239.54539999999997</v>
      </c>
      <c r="G7" s="32">
        <f t="shared" si="0"/>
        <v>3459.0355759999993</v>
      </c>
    </row>
    <row r="8" spans="2:7" ht="12">
      <c r="B8" s="27">
        <v>4</v>
      </c>
      <c r="C8" s="7" t="s">
        <v>141</v>
      </c>
      <c r="D8" s="7" t="s">
        <v>138</v>
      </c>
      <c r="E8" s="12">
        <v>96.5896</v>
      </c>
      <c r="F8" s="14">
        <v>179.0356</v>
      </c>
      <c r="G8" s="32">
        <f t="shared" si="0"/>
        <v>17292.976989759998</v>
      </c>
    </row>
    <row r="9" spans="2:7" ht="12">
      <c r="B9" s="27">
        <v>5</v>
      </c>
      <c r="C9" s="7" t="s">
        <v>142</v>
      </c>
      <c r="D9" s="7" t="s">
        <v>138</v>
      </c>
      <c r="E9" s="12">
        <v>5.6</v>
      </c>
      <c r="F9" s="14">
        <v>212.6538</v>
      </c>
      <c r="G9" s="32">
        <f t="shared" si="0"/>
        <v>1190.8612799999999</v>
      </c>
    </row>
    <row r="10" spans="2:7" ht="12">
      <c r="B10" s="27">
        <v>6</v>
      </c>
      <c r="C10" s="7" t="s">
        <v>143</v>
      </c>
      <c r="D10" s="7" t="s">
        <v>138</v>
      </c>
      <c r="E10" s="12">
        <v>0.645</v>
      </c>
      <c r="F10" s="14">
        <v>192.23719999999997</v>
      </c>
      <c r="G10" s="32">
        <f t="shared" si="0"/>
        <v>123.99299399999998</v>
      </c>
    </row>
    <row r="11" spans="2:7" ht="12">
      <c r="B11" s="27">
        <v>7</v>
      </c>
      <c r="C11" s="7" t="s">
        <v>144</v>
      </c>
      <c r="D11" s="7" t="s">
        <v>138</v>
      </c>
      <c r="E11" s="12">
        <v>0.645</v>
      </c>
      <c r="F11" s="14">
        <v>212.6538</v>
      </c>
      <c r="G11" s="32">
        <f t="shared" si="0"/>
        <v>137.161701</v>
      </c>
    </row>
    <row r="12" spans="2:7" ht="12">
      <c r="B12" s="27">
        <v>8</v>
      </c>
      <c r="C12" s="7" t="s">
        <v>145</v>
      </c>
      <c r="D12" s="7" t="s">
        <v>138</v>
      </c>
      <c r="E12" s="12">
        <v>15.2</v>
      </c>
      <c r="F12" s="14">
        <v>239.54539999999997</v>
      </c>
      <c r="G12" s="32">
        <f t="shared" si="0"/>
        <v>3641.0900799999995</v>
      </c>
    </row>
    <row r="13" spans="2:7" ht="12">
      <c r="B13" s="27">
        <v>9</v>
      </c>
      <c r="C13" s="7" t="s">
        <v>146</v>
      </c>
      <c r="D13" s="7" t="s">
        <v>138</v>
      </c>
      <c r="E13" s="12">
        <v>18.176</v>
      </c>
      <c r="F13" s="14">
        <v>212.6538</v>
      </c>
      <c r="G13" s="32">
        <f t="shared" si="0"/>
        <v>3865.1954687999996</v>
      </c>
    </row>
    <row r="14" spans="2:7" ht="24">
      <c r="B14" s="27">
        <v>10</v>
      </c>
      <c r="C14" s="7" t="s">
        <v>147</v>
      </c>
      <c r="D14" s="7" t="s">
        <v>138</v>
      </c>
      <c r="E14" s="12">
        <v>9.8</v>
      </c>
      <c r="F14" s="14">
        <v>192.23719999999997</v>
      </c>
      <c r="G14" s="32">
        <f t="shared" si="0"/>
        <v>1883.92456</v>
      </c>
    </row>
    <row r="15" spans="2:7" ht="24">
      <c r="B15" s="27">
        <v>11</v>
      </c>
      <c r="C15" s="7" t="s">
        <v>148</v>
      </c>
      <c r="D15" s="7" t="s">
        <v>138</v>
      </c>
      <c r="E15" s="12">
        <v>9.8</v>
      </c>
      <c r="F15" s="14">
        <v>212.6538</v>
      </c>
      <c r="G15" s="32">
        <f t="shared" si="0"/>
        <v>2084.00724</v>
      </c>
    </row>
    <row r="16" spans="2:7" ht="24">
      <c r="B16" s="27">
        <v>12</v>
      </c>
      <c r="C16" s="7" t="s">
        <v>149</v>
      </c>
      <c r="D16" s="7" t="s">
        <v>138</v>
      </c>
      <c r="E16" s="12">
        <v>5.2</v>
      </c>
      <c r="F16" s="14">
        <v>239.54539999999997</v>
      </c>
      <c r="G16" s="32">
        <f t="shared" si="0"/>
        <v>1245.63608</v>
      </c>
    </row>
    <row r="17" spans="2:7" ht="12">
      <c r="B17" s="27">
        <v>13</v>
      </c>
      <c r="C17" s="7" t="s">
        <v>150</v>
      </c>
      <c r="D17" s="7" t="s">
        <v>138</v>
      </c>
      <c r="E17" s="12">
        <v>18.8</v>
      </c>
      <c r="F17" s="14">
        <v>212.6538</v>
      </c>
      <c r="G17" s="32">
        <f t="shared" si="0"/>
        <v>3997.89144</v>
      </c>
    </row>
    <row r="18" spans="2:7" ht="12">
      <c r="B18" s="27">
        <v>14</v>
      </c>
      <c r="C18" s="7" t="s">
        <v>151</v>
      </c>
      <c r="D18" s="7" t="s">
        <v>138</v>
      </c>
      <c r="E18" s="12">
        <v>4.625</v>
      </c>
      <c r="F18" s="14">
        <v>192.23719999999997</v>
      </c>
      <c r="G18" s="32">
        <f t="shared" si="0"/>
        <v>889.0970499999999</v>
      </c>
    </row>
    <row r="19" spans="2:7" ht="12">
      <c r="B19" s="27">
        <v>15</v>
      </c>
      <c r="C19" s="7" t="s">
        <v>152</v>
      </c>
      <c r="D19" s="7" t="s">
        <v>138</v>
      </c>
      <c r="E19" s="12">
        <v>4.625</v>
      </c>
      <c r="F19" s="14">
        <v>212.6538</v>
      </c>
      <c r="G19" s="32">
        <f t="shared" si="0"/>
        <v>983.523825</v>
      </c>
    </row>
    <row r="20" spans="2:7" ht="24">
      <c r="B20" s="27">
        <v>16</v>
      </c>
      <c r="C20" s="7" t="s">
        <v>153</v>
      </c>
      <c r="D20" s="7" t="s">
        <v>138</v>
      </c>
      <c r="E20" s="12">
        <v>0.137</v>
      </c>
      <c r="F20" s="14">
        <v>192.23719999999997</v>
      </c>
      <c r="G20" s="32">
        <f t="shared" si="0"/>
        <v>26.336496399999998</v>
      </c>
    </row>
    <row r="21" spans="2:7" ht="24">
      <c r="B21" s="27">
        <v>17</v>
      </c>
      <c r="C21" s="7" t="s">
        <v>154</v>
      </c>
      <c r="D21" s="7" t="s">
        <v>138</v>
      </c>
      <c r="E21" s="12">
        <v>0.137</v>
      </c>
      <c r="F21" s="14">
        <v>212.6538</v>
      </c>
      <c r="G21" s="32">
        <f t="shared" si="0"/>
        <v>29.133570600000002</v>
      </c>
    </row>
    <row r="22" spans="2:7" ht="24">
      <c r="B22" s="27">
        <v>18</v>
      </c>
      <c r="C22" s="7" t="s">
        <v>155</v>
      </c>
      <c r="D22" s="7" t="s">
        <v>138</v>
      </c>
      <c r="E22" s="12">
        <v>0.137</v>
      </c>
      <c r="F22" s="14">
        <v>239.54539999999997</v>
      </c>
      <c r="G22" s="32">
        <f t="shared" si="0"/>
        <v>32.8177198</v>
      </c>
    </row>
    <row r="23" spans="2:7" ht="12">
      <c r="B23" s="27">
        <v>19</v>
      </c>
      <c r="C23" s="7" t="s">
        <v>156</v>
      </c>
      <c r="D23" s="7" t="s">
        <v>138</v>
      </c>
      <c r="E23" s="12">
        <v>1.92</v>
      </c>
      <c r="F23" s="14">
        <v>239.54539999999997</v>
      </c>
      <c r="G23" s="32">
        <f t="shared" si="0"/>
        <v>459.92716799999994</v>
      </c>
    </row>
    <row r="24" spans="2:7" ht="12">
      <c r="B24" s="27">
        <v>20</v>
      </c>
      <c r="C24" s="7" t="s">
        <v>157</v>
      </c>
      <c r="D24" s="7" t="s">
        <v>138</v>
      </c>
      <c r="E24" s="12">
        <v>12.1</v>
      </c>
      <c r="F24" s="14">
        <v>239.54539999999997</v>
      </c>
      <c r="G24" s="32">
        <f t="shared" si="0"/>
        <v>2898.4993399999994</v>
      </c>
    </row>
    <row r="25" spans="2:7" ht="12">
      <c r="B25" s="27">
        <v>21</v>
      </c>
      <c r="C25" s="7" t="s">
        <v>158</v>
      </c>
      <c r="D25" s="7" t="s">
        <v>138</v>
      </c>
      <c r="E25" s="12">
        <v>54</v>
      </c>
      <c r="F25" s="14">
        <v>179.0356</v>
      </c>
      <c r="G25" s="32">
        <f t="shared" si="0"/>
        <v>9667.9224</v>
      </c>
    </row>
    <row r="26" spans="2:7" ht="24">
      <c r="B26" s="27">
        <v>22</v>
      </c>
      <c r="C26" s="7" t="s">
        <v>159</v>
      </c>
      <c r="D26" s="7" t="s">
        <v>138</v>
      </c>
      <c r="E26" s="12">
        <v>202.931</v>
      </c>
      <c r="F26" s="14">
        <v>192.23719999999997</v>
      </c>
      <c r="G26" s="32">
        <f t="shared" si="0"/>
        <v>39010.887233199996</v>
      </c>
    </row>
    <row r="27" spans="2:7" ht="24">
      <c r="B27" s="27">
        <v>23</v>
      </c>
      <c r="C27" s="7" t="s">
        <v>160</v>
      </c>
      <c r="D27" s="7" t="s">
        <v>138</v>
      </c>
      <c r="E27" s="12">
        <v>16</v>
      </c>
      <c r="F27" s="14">
        <v>239.54539999999997</v>
      </c>
      <c r="G27" s="32">
        <f t="shared" si="0"/>
        <v>3832.7263999999996</v>
      </c>
    </row>
    <row r="28" spans="2:7" ht="24">
      <c r="B28" s="27">
        <v>24</v>
      </c>
      <c r="C28" s="7" t="s">
        <v>161</v>
      </c>
      <c r="D28" s="7" t="s">
        <v>138</v>
      </c>
      <c r="E28" s="12">
        <v>2.39</v>
      </c>
      <c r="F28" s="14">
        <v>239.54539999999997</v>
      </c>
      <c r="G28" s="32">
        <f t="shared" si="0"/>
        <v>572.513506</v>
      </c>
    </row>
    <row r="29" spans="2:7" ht="24">
      <c r="B29" s="27">
        <v>25</v>
      </c>
      <c r="C29" s="7" t="s">
        <v>162</v>
      </c>
      <c r="D29" s="7" t="s">
        <v>138</v>
      </c>
      <c r="E29" s="12">
        <v>7.31</v>
      </c>
      <c r="F29" s="14">
        <v>192.23719999999997</v>
      </c>
      <c r="G29" s="32">
        <f t="shared" si="0"/>
        <v>1405.2539319999996</v>
      </c>
    </row>
    <row r="30" spans="2:7" ht="24">
      <c r="B30" s="27">
        <v>26</v>
      </c>
      <c r="C30" s="7" t="s">
        <v>163</v>
      </c>
      <c r="D30" s="7" t="s">
        <v>138</v>
      </c>
      <c r="E30" s="12">
        <v>5.97</v>
      </c>
      <c r="F30" s="14">
        <v>212.6538</v>
      </c>
      <c r="G30" s="32">
        <f t="shared" si="0"/>
        <v>1269.5431859999999</v>
      </c>
    </row>
    <row r="31" spans="2:7" ht="24">
      <c r="B31" s="27">
        <v>27</v>
      </c>
      <c r="C31" s="7" t="s">
        <v>164</v>
      </c>
      <c r="D31" s="7" t="s">
        <v>138</v>
      </c>
      <c r="E31" s="12">
        <v>11.45</v>
      </c>
      <c r="F31" s="14">
        <v>239.54539999999997</v>
      </c>
      <c r="G31" s="32">
        <f t="shared" si="0"/>
        <v>2742.7948299999994</v>
      </c>
    </row>
    <row r="32" spans="2:7" ht="12">
      <c r="B32" s="27">
        <v>28</v>
      </c>
      <c r="C32" s="7" t="s">
        <v>165</v>
      </c>
      <c r="D32" s="7" t="s">
        <v>138</v>
      </c>
      <c r="E32" s="12">
        <v>37.6</v>
      </c>
      <c r="F32" s="14">
        <v>212.6538</v>
      </c>
      <c r="G32" s="32">
        <f t="shared" si="0"/>
        <v>7995.78288</v>
      </c>
    </row>
    <row r="33" spans="2:7" ht="12">
      <c r="B33" s="27">
        <v>29</v>
      </c>
      <c r="C33" s="7" t="s">
        <v>166</v>
      </c>
      <c r="D33" s="7" t="s">
        <v>138</v>
      </c>
      <c r="E33" s="12">
        <v>142.27</v>
      </c>
      <c r="F33" s="14">
        <v>212.6538</v>
      </c>
      <c r="G33" s="32">
        <f t="shared" si="0"/>
        <v>30254.256126</v>
      </c>
    </row>
    <row r="34" spans="2:7" ht="12">
      <c r="B34" s="27">
        <v>30</v>
      </c>
      <c r="C34" s="7" t="s">
        <v>167</v>
      </c>
      <c r="D34" s="7" t="s">
        <v>138</v>
      </c>
      <c r="E34" s="12">
        <v>84.21</v>
      </c>
      <c r="F34" s="14">
        <v>239.54539999999997</v>
      </c>
      <c r="G34" s="32">
        <f t="shared" si="0"/>
        <v>20172.118133999997</v>
      </c>
    </row>
    <row r="35" spans="2:7" ht="12">
      <c r="B35" s="27">
        <v>31</v>
      </c>
      <c r="C35" s="7" t="s">
        <v>168</v>
      </c>
      <c r="D35" s="7" t="s">
        <v>138</v>
      </c>
      <c r="E35" s="12">
        <v>1.1</v>
      </c>
      <c r="F35" s="14">
        <v>275.4058</v>
      </c>
      <c r="G35" s="32">
        <f t="shared" si="0"/>
        <v>302.94638000000003</v>
      </c>
    </row>
    <row r="36" spans="2:7" ht="12">
      <c r="B36" s="27">
        <v>32</v>
      </c>
      <c r="C36" s="7" t="s">
        <v>169</v>
      </c>
      <c r="D36" s="7" t="s">
        <v>138</v>
      </c>
      <c r="E36" s="12">
        <v>1.1</v>
      </c>
      <c r="F36" s="14">
        <v>321.7224</v>
      </c>
      <c r="G36" s="32">
        <f t="shared" si="0"/>
        <v>353.89464000000004</v>
      </c>
    </row>
    <row r="37" spans="2:7" ht="12">
      <c r="B37" s="27">
        <v>33</v>
      </c>
      <c r="C37" s="7" t="s">
        <v>170</v>
      </c>
      <c r="D37" s="7" t="s">
        <v>138</v>
      </c>
      <c r="E37" s="12">
        <v>19.452</v>
      </c>
      <c r="F37" s="14">
        <v>222.8658</v>
      </c>
      <c r="G37" s="32">
        <f t="shared" si="0"/>
        <v>4335.185541600001</v>
      </c>
    </row>
    <row r="38" spans="2:7" ht="12">
      <c r="B38" s="27">
        <v>34</v>
      </c>
      <c r="C38" s="7" t="s">
        <v>171</v>
      </c>
      <c r="D38" s="7" t="s">
        <v>138</v>
      </c>
      <c r="E38" s="12">
        <v>12</v>
      </c>
      <c r="F38" s="14">
        <v>239.54539999999997</v>
      </c>
      <c r="G38" s="32">
        <f t="shared" si="0"/>
        <v>2874.5447999999997</v>
      </c>
    </row>
    <row r="39" spans="2:7" ht="12">
      <c r="B39" s="27">
        <v>35</v>
      </c>
      <c r="C39" s="7" t="s">
        <v>172</v>
      </c>
      <c r="D39" s="7" t="s">
        <v>138</v>
      </c>
      <c r="E39" s="12">
        <v>26</v>
      </c>
      <c r="F39" s="14">
        <v>239.54539999999997</v>
      </c>
      <c r="G39" s="32">
        <f t="shared" si="0"/>
        <v>6228.180399999999</v>
      </c>
    </row>
    <row r="40" spans="2:7" ht="12">
      <c r="B40" s="27">
        <v>36</v>
      </c>
      <c r="C40" s="7" t="s">
        <v>173</v>
      </c>
      <c r="D40" s="7" t="s">
        <v>138</v>
      </c>
      <c r="E40" s="12">
        <v>1.26</v>
      </c>
      <c r="F40" s="14">
        <v>212.6538</v>
      </c>
      <c r="G40" s="32">
        <f t="shared" si="0"/>
        <v>267.943788</v>
      </c>
    </row>
    <row r="41" spans="2:7" ht="24">
      <c r="B41" s="27">
        <v>37</v>
      </c>
      <c r="C41" s="7" t="s">
        <v>174</v>
      </c>
      <c r="D41" s="7" t="s">
        <v>175</v>
      </c>
      <c r="E41" s="12">
        <v>7.92</v>
      </c>
      <c r="F41" s="14">
        <v>275.4058</v>
      </c>
      <c r="G41" s="32">
        <f t="shared" si="0"/>
        <v>2181.213936</v>
      </c>
    </row>
    <row r="42" spans="2:7" ht="24">
      <c r="B42" s="27">
        <v>38</v>
      </c>
      <c r="C42" s="7" t="s">
        <v>176</v>
      </c>
      <c r="D42" s="7" t="s">
        <v>138</v>
      </c>
      <c r="E42" s="12">
        <v>9.54</v>
      </c>
      <c r="F42" s="14">
        <v>239.54539999999997</v>
      </c>
      <c r="G42" s="32">
        <f t="shared" si="0"/>
        <v>2285.2631159999996</v>
      </c>
    </row>
    <row r="43" spans="2:7" ht="12">
      <c r="B43" s="52" t="s">
        <v>177</v>
      </c>
      <c r="C43" s="53"/>
      <c r="D43" s="53"/>
      <c r="E43" s="53"/>
      <c r="F43" s="54"/>
      <c r="G43" s="33">
        <f>SUM(G5:G42)</f>
        <v>187386.87009176</v>
      </c>
    </row>
    <row r="44" spans="2:7" ht="16.5">
      <c r="B44" s="51" t="s">
        <v>178</v>
      </c>
      <c r="C44" s="51"/>
      <c r="D44" s="51"/>
      <c r="E44" s="51"/>
      <c r="F44" s="51"/>
      <c r="G44" s="51"/>
    </row>
    <row r="45" spans="2:7" ht="12">
      <c r="B45" s="26">
        <v>39</v>
      </c>
      <c r="C45" s="28" t="s">
        <v>179</v>
      </c>
      <c r="D45" s="28" t="s">
        <v>180</v>
      </c>
      <c r="E45" s="29">
        <v>0.00063</v>
      </c>
      <c r="F45" s="30">
        <v>50525.9319</v>
      </c>
      <c r="G45" s="31">
        <f aca="true" t="shared" si="1" ref="G45:G76">E45*F45</f>
        <v>31.831337097000002</v>
      </c>
    </row>
    <row r="46" spans="2:7" ht="12">
      <c r="B46" s="27">
        <v>40</v>
      </c>
      <c r="C46" s="7" t="s">
        <v>181</v>
      </c>
      <c r="D46" s="7" t="s">
        <v>182</v>
      </c>
      <c r="E46" s="12">
        <v>0.0037</v>
      </c>
      <c r="F46" s="14">
        <v>3887.52</v>
      </c>
      <c r="G46" s="32">
        <f t="shared" si="1"/>
        <v>14.383824</v>
      </c>
    </row>
    <row r="47" spans="2:7" ht="12">
      <c r="B47" s="27">
        <v>41</v>
      </c>
      <c r="C47" s="7" t="s">
        <v>183</v>
      </c>
      <c r="D47" s="7" t="s">
        <v>182</v>
      </c>
      <c r="E47" s="12">
        <v>1</v>
      </c>
      <c r="F47" s="14">
        <v>3342.929</v>
      </c>
      <c r="G47" s="32">
        <f t="shared" si="1"/>
        <v>3342.929</v>
      </c>
    </row>
    <row r="48" spans="2:7" ht="24">
      <c r="B48" s="27">
        <v>42</v>
      </c>
      <c r="C48" s="7" t="s">
        <v>184</v>
      </c>
      <c r="D48" s="7" t="s">
        <v>180</v>
      </c>
      <c r="E48" s="12">
        <v>0.02</v>
      </c>
      <c r="F48" s="14">
        <v>61469.3897</v>
      </c>
      <c r="G48" s="32">
        <f t="shared" si="1"/>
        <v>1229.387794</v>
      </c>
    </row>
    <row r="49" spans="2:7" ht="24">
      <c r="B49" s="27">
        <v>43</v>
      </c>
      <c r="C49" s="7" t="s">
        <v>185</v>
      </c>
      <c r="D49" s="7" t="s">
        <v>182</v>
      </c>
      <c r="E49" s="12">
        <v>0.0495</v>
      </c>
      <c r="F49" s="14">
        <v>6102.8457</v>
      </c>
      <c r="G49" s="32">
        <f t="shared" si="1"/>
        <v>302.09086215</v>
      </c>
    </row>
    <row r="50" spans="2:7" ht="24">
      <c r="B50" s="27">
        <v>44</v>
      </c>
      <c r="C50" s="7" t="s">
        <v>186</v>
      </c>
      <c r="D50" s="7" t="s">
        <v>182</v>
      </c>
      <c r="E50" s="12">
        <v>0.015</v>
      </c>
      <c r="F50" s="14">
        <v>7244.0126</v>
      </c>
      <c r="G50" s="32">
        <f t="shared" si="1"/>
        <v>108.660189</v>
      </c>
    </row>
    <row r="51" spans="2:7" ht="12">
      <c r="B51" s="27">
        <v>45</v>
      </c>
      <c r="C51" s="7" t="s">
        <v>187</v>
      </c>
      <c r="D51" s="7" t="s">
        <v>188</v>
      </c>
      <c r="E51" s="12">
        <v>10</v>
      </c>
      <c r="F51" s="14">
        <v>276.3183</v>
      </c>
      <c r="G51" s="32">
        <f t="shared" si="1"/>
        <v>2763.183</v>
      </c>
    </row>
    <row r="52" spans="2:7" ht="12">
      <c r="B52" s="27">
        <v>46</v>
      </c>
      <c r="C52" s="7" t="s">
        <v>189</v>
      </c>
      <c r="D52" s="7" t="s">
        <v>188</v>
      </c>
      <c r="E52" s="12">
        <v>5</v>
      </c>
      <c r="F52" s="14">
        <v>1393.4552</v>
      </c>
      <c r="G52" s="32">
        <f t="shared" si="1"/>
        <v>6967.276000000001</v>
      </c>
    </row>
    <row r="53" spans="2:7" ht="12">
      <c r="B53" s="27">
        <v>47</v>
      </c>
      <c r="C53" s="7" t="s">
        <v>190</v>
      </c>
      <c r="D53" s="7" t="s">
        <v>191</v>
      </c>
      <c r="E53" s="12">
        <v>1.252</v>
      </c>
      <c r="F53" s="14">
        <v>42.8802</v>
      </c>
      <c r="G53" s="32">
        <f t="shared" si="1"/>
        <v>53.6860104</v>
      </c>
    </row>
    <row r="54" spans="2:7" ht="12">
      <c r="B54" s="27">
        <v>48</v>
      </c>
      <c r="C54" s="7" t="s">
        <v>192</v>
      </c>
      <c r="D54" s="7" t="s">
        <v>182</v>
      </c>
      <c r="E54" s="12">
        <v>22.329</v>
      </c>
      <c r="F54" s="14">
        <v>0</v>
      </c>
      <c r="G54" s="32">
        <f t="shared" si="1"/>
        <v>0</v>
      </c>
    </row>
    <row r="55" spans="2:7" ht="12">
      <c r="B55" s="27">
        <v>49</v>
      </c>
      <c r="C55" s="7" t="s">
        <v>193</v>
      </c>
      <c r="D55" s="7" t="s">
        <v>180</v>
      </c>
      <c r="E55" s="12">
        <v>0.0264</v>
      </c>
      <c r="F55" s="14">
        <v>103842.7792</v>
      </c>
      <c r="G55" s="32">
        <f t="shared" si="1"/>
        <v>2741.44937088</v>
      </c>
    </row>
    <row r="56" spans="2:7" ht="12">
      <c r="B56" s="27">
        <v>50</v>
      </c>
      <c r="C56" s="7" t="s">
        <v>194</v>
      </c>
      <c r="D56" s="7" t="s">
        <v>195</v>
      </c>
      <c r="E56" s="12">
        <v>19.46</v>
      </c>
      <c r="F56" s="14">
        <v>223.5235</v>
      </c>
      <c r="G56" s="32">
        <f t="shared" si="1"/>
        <v>4349.76731</v>
      </c>
    </row>
    <row r="57" spans="2:7" ht="12">
      <c r="B57" s="27">
        <v>51</v>
      </c>
      <c r="C57" s="7" t="s">
        <v>196</v>
      </c>
      <c r="D57" s="7" t="s">
        <v>180</v>
      </c>
      <c r="E57" s="12">
        <v>0.0076</v>
      </c>
      <c r="F57" s="14">
        <v>44436.8456</v>
      </c>
      <c r="G57" s="32">
        <f t="shared" si="1"/>
        <v>337.72002656</v>
      </c>
    </row>
    <row r="58" spans="2:7" ht="12">
      <c r="B58" s="27">
        <v>52</v>
      </c>
      <c r="C58" s="7" t="s">
        <v>197</v>
      </c>
      <c r="D58" s="7" t="s">
        <v>180</v>
      </c>
      <c r="E58" s="12">
        <v>0.00468</v>
      </c>
      <c r="F58" s="14">
        <v>90788.7487</v>
      </c>
      <c r="G58" s="32">
        <f t="shared" si="1"/>
        <v>424.891343916</v>
      </c>
    </row>
    <row r="59" spans="2:7" ht="12">
      <c r="B59" s="27">
        <v>53</v>
      </c>
      <c r="C59" s="7" t="s">
        <v>198</v>
      </c>
      <c r="D59" s="7" t="s">
        <v>180</v>
      </c>
      <c r="E59" s="12">
        <v>0.0006</v>
      </c>
      <c r="F59" s="14">
        <v>79130.06910000001</v>
      </c>
      <c r="G59" s="32">
        <f t="shared" si="1"/>
        <v>47.47804146</v>
      </c>
    </row>
    <row r="60" spans="2:7" ht="12">
      <c r="B60" s="27">
        <v>54</v>
      </c>
      <c r="C60" s="7" t="s">
        <v>199</v>
      </c>
      <c r="D60" s="7" t="s">
        <v>180</v>
      </c>
      <c r="E60" s="12">
        <v>0.0539</v>
      </c>
      <c r="F60" s="14">
        <v>4743.8068</v>
      </c>
      <c r="G60" s="32">
        <f t="shared" si="1"/>
        <v>255.69118652000003</v>
      </c>
    </row>
    <row r="61" spans="2:7" ht="24">
      <c r="B61" s="27">
        <v>55</v>
      </c>
      <c r="C61" s="7" t="s">
        <v>200</v>
      </c>
      <c r="D61" s="7" t="s">
        <v>188</v>
      </c>
      <c r="E61" s="12">
        <v>15</v>
      </c>
      <c r="F61" s="14">
        <v>38.5637</v>
      </c>
      <c r="G61" s="32">
        <f t="shared" si="1"/>
        <v>578.4554999999999</v>
      </c>
    </row>
    <row r="62" spans="2:7" ht="12">
      <c r="B62" s="27">
        <v>56</v>
      </c>
      <c r="C62" s="7" t="s">
        <v>201</v>
      </c>
      <c r="D62" s="7" t="s">
        <v>191</v>
      </c>
      <c r="E62" s="12">
        <v>0.8</v>
      </c>
      <c r="F62" s="14">
        <v>55.536</v>
      </c>
      <c r="G62" s="32">
        <f t="shared" si="1"/>
        <v>44.4288</v>
      </c>
    </row>
    <row r="63" spans="2:7" ht="24">
      <c r="B63" s="27">
        <v>57</v>
      </c>
      <c r="C63" s="7" t="s">
        <v>202</v>
      </c>
      <c r="D63" s="7" t="s">
        <v>203</v>
      </c>
      <c r="E63" s="12">
        <v>0.04</v>
      </c>
      <c r="F63" s="14">
        <v>10840.449200000001</v>
      </c>
      <c r="G63" s="32">
        <f t="shared" si="1"/>
        <v>433.617968</v>
      </c>
    </row>
    <row r="64" spans="2:7" ht="36">
      <c r="B64" s="27">
        <v>58</v>
      </c>
      <c r="C64" s="7" t="s">
        <v>204</v>
      </c>
      <c r="D64" s="7" t="s">
        <v>182</v>
      </c>
      <c r="E64" s="12">
        <v>0.115</v>
      </c>
      <c r="F64" s="14">
        <v>12889.7365</v>
      </c>
      <c r="G64" s="32">
        <f t="shared" si="1"/>
        <v>1482.3196975</v>
      </c>
    </row>
    <row r="65" spans="2:7" ht="24">
      <c r="B65" s="27">
        <v>59</v>
      </c>
      <c r="C65" s="7" t="s">
        <v>205</v>
      </c>
      <c r="D65" s="7" t="s">
        <v>182</v>
      </c>
      <c r="E65" s="12">
        <v>0.188</v>
      </c>
      <c r="F65" s="14">
        <v>4221.5281</v>
      </c>
      <c r="G65" s="32">
        <f t="shared" si="1"/>
        <v>793.6472828000001</v>
      </c>
    </row>
    <row r="66" spans="2:7" ht="24">
      <c r="B66" s="27">
        <v>60</v>
      </c>
      <c r="C66" s="7" t="s">
        <v>206</v>
      </c>
      <c r="D66" s="7" t="s">
        <v>182</v>
      </c>
      <c r="E66" s="12">
        <v>0.294</v>
      </c>
      <c r="F66" s="14">
        <v>4191.0545</v>
      </c>
      <c r="G66" s="32">
        <f t="shared" si="1"/>
        <v>1232.170023</v>
      </c>
    </row>
    <row r="67" spans="2:7" ht="12">
      <c r="B67" s="27">
        <v>61</v>
      </c>
      <c r="C67" s="7" t="s">
        <v>207</v>
      </c>
      <c r="D67" s="7" t="s">
        <v>191</v>
      </c>
      <c r="E67" s="12">
        <v>0.06</v>
      </c>
      <c r="F67" s="14">
        <v>74.37729999999999</v>
      </c>
      <c r="G67" s="32">
        <f t="shared" si="1"/>
        <v>4.462637999999999</v>
      </c>
    </row>
    <row r="68" spans="2:7" ht="12">
      <c r="B68" s="27">
        <v>62</v>
      </c>
      <c r="C68" s="7" t="s">
        <v>208</v>
      </c>
      <c r="D68" s="7" t="s">
        <v>191</v>
      </c>
      <c r="E68" s="12">
        <v>1.24</v>
      </c>
      <c r="F68" s="14">
        <v>77.9996</v>
      </c>
      <c r="G68" s="32">
        <f t="shared" si="1"/>
        <v>96.719504</v>
      </c>
    </row>
    <row r="69" spans="2:7" ht="12">
      <c r="B69" s="27">
        <v>63</v>
      </c>
      <c r="C69" s="7" t="s">
        <v>209</v>
      </c>
      <c r="D69" s="7" t="s">
        <v>188</v>
      </c>
      <c r="E69" s="12">
        <v>1</v>
      </c>
      <c r="F69" s="14">
        <v>360.272</v>
      </c>
      <c r="G69" s="32">
        <f t="shared" si="1"/>
        <v>360.272</v>
      </c>
    </row>
    <row r="70" spans="2:7" ht="12">
      <c r="B70" s="27">
        <v>64</v>
      </c>
      <c r="C70" s="7" t="s">
        <v>210</v>
      </c>
      <c r="D70" s="7" t="s">
        <v>180</v>
      </c>
      <c r="E70" s="12">
        <v>0.00385</v>
      </c>
      <c r="F70" s="14">
        <v>43753.3167</v>
      </c>
      <c r="G70" s="32">
        <f t="shared" si="1"/>
        <v>168.45026929500003</v>
      </c>
    </row>
    <row r="71" spans="2:7" ht="24">
      <c r="B71" s="27">
        <v>65</v>
      </c>
      <c r="C71" s="7" t="s">
        <v>211</v>
      </c>
      <c r="D71" s="7" t="s">
        <v>180</v>
      </c>
      <c r="E71" s="12">
        <v>0.00884</v>
      </c>
      <c r="F71" s="14">
        <v>54787.242999999995</v>
      </c>
      <c r="G71" s="32">
        <f t="shared" si="1"/>
        <v>484.31922812</v>
      </c>
    </row>
    <row r="72" spans="2:7" ht="12">
      <c r="B72" s="27">
        <v>66</v>
      </c>
      <c r="C72" s="7" t="s">
        <v>212</v>
      </c>
      <c r="D72" s="7" t="s">
        <v>191</v>
      </c>
      <c r="E72" s="12">
        <v>0.05</v>
      </c>
      <c r="F72" s="14">
        <v>80.13560000000001</v>
      </c>
      <c r="G72" s="32">
        <f t="shared" si="1"/>
        <v>4.006780000000001</v>
      </c>
    </row>
    <row r="73" spans="2:7" ht="24">
      <c r="B73" s="27">
        <v>67</v>
      </c>
      <c r="C73" s="7" t="s">
        <v>213</v>
      </c>
      <c r="D73" s="7" t="s">
        <v>195</v>
      </c>
      <c r="E73" s="12">
        <v>54</v>
      </c>
      <c r="F73" s="14">
        <v>134.54129999999998</v>
      </c>
      <c r="G73" s="32">
        <f t="shared" si="1"/>
        <v>7265.230199999999</v>
      </c>
    </row>
    <row r="74" spans="2:7" ht="12">
      <c r="B74" s="27">
        <v>68</v>
      </c>
      <c r="C74" s="7" t="s">
        <v>214</v>
      </c>
      <c r="D74" s="7" t="s">
        <v>215</v>
      </c>
      <c r="E74" s="12">
        <v>0.01404</v>
      </c>
      <c r="F74" s="14">
        <v>32382.285099999997</v>
      </c>
      <c r="G74" s="32">
        <f t="shared" si="1"/>
        <v>454.647282804</v>
      </c>
    </row>
    <row r="75" spans="2:7" ht="12">
      <c r="B75" s="27">
        <v>69</v>
      </c>
      <c r="C75" s="7" t="s">
        <v>216</v>
      </c>
      <c r="D75" s="7" t="s">
        <v>180</v>
      </c>
      <c r="E75" s="12">
        <v>0.0035</v>
      </c>
      <c r="F75" s="14">
        <v>55618.8145</v>
      </c>
      <c r="G75" s="32">
        <f t="shared" si="1"/>
        <v>194.66585075</v>
      </c>
    </row>
    <row r="76" spans="2:7" ht="12">
      <c r="B76" s="27">
        <v>70</v>
      </c>
      <c r="C76" s="7" t="s">
        <v>217</v>
      </c>
      <c r="D76" s="7" t="s">
        <v>218</v>
      </c>
      <c r="E76" s="12">
        <v>0.418644</v>
      </c>
      <c r="F76" s="14">
        <v>4495.1675000000005</v>
      </c>
      <c r="G76" s="32">
        <f t="shared" si="1"/>
        <v>1881.8749028700004</v>
      </c>
    </row>
    <row r="77" spans="2:7" ht="12">
      <c r="B77" s="27">
        <v>71</v>
      </c>
      <c r="C77" s="7" t="s">
        <v>219</v>
      </c>
      <c r="D77" s="7" t="s">
        <v>191</v>
      </c>
      <c r="E77" s="12">
        <v>21.8</v>
      </c>
      <c r="F77" s="14">
        <v>181.6668</v>
      </c>
      <c r="G77" s="32">
        <f aca="true" t="shared" si="2" ref="G77:G108">E77*F77</f>
        <v>3960.33624</v>
      </c>
    </row>
    <row r="78" spans="2:7" ht="12">
      <c r="B78" s="27">
        <v>72</v>
      </c>
      <c r="C78" s="7" t="s">
        <v>220</v>
      </c>
      <c r="D78" s="7" t="s">
        <v>191</v>
      </c>
      <c r="E78" s="12">
        <v>0.6</v>
      </c>
      <c r="F78" s="14">
        <v>65.1569</v>
      </c>
      <c r="G78" s="32">
        <f t="shared" si="2"/>
        <v>39.094139999999996</v>
      </c>
    </row>
    <row r="79" spans="2:7" ht="12">
      <c r="B79" s="27">
        <v>73</v>
      </c>
      <c r="C79" s="7" t="s">
        <v>221</v>
      </c>
      <c r="D79" s="7" t="s">
        <v>222</v>
      </c>
      <c r="E79" s="12">
        <v>55</v>
      </c>
      <c r="F79" s="14">
        <v>2.492</v>
      </c>
      <c r="G79" s="32">
        <f t="shared" si="2"/>
        <v>137.06</v>
      </c>
    </row>
    <row r="80" spans="2:7" ht="12">
      <c r="B80" s="27">
        <v>74</v>
      </c>
      <c r="C80" s="7" t="s">
        <v>223</v>
      </c>
      <c r="D80" s="7" t="s">
        <v>180</v>
      </c>
      <c r="E80" s="12">
        <v>0.00208</v>
      </c>
      <c r="F80" s="14">
        <v>75559.79849999999</v>
      </c>
      <c r="G80" s="32">
        <f t="shared" si="2"/>
        <v>157.16438087999995</v>
      </c>
    </row>
    <row r="81" spans="2:7" ht="12">
      <c r="B81" s="27">
        <v>75</v>
      </c>
      <c r="C81" s="7" t="s">
        <v>224</v>
      </c>
      <c r="D81" s="7" t="s">
        <v>191</v>
      </c>
      <c r="E81" s="12">
        <v>1.278</v>
      </c>
      <c r="F81" s="14">
        <v>187.434</v>
      </c>
      <c r="G81" s="32">
        <f t="shared" si="2"/>
        <v>239.540652</v>
      </c>
    </row>
    <row r="82" spans="2:7" ht="12">
      <c r="B82" s="27">
        <v>76</v>
      </c>
      <c r="C82" s="7" t="s">
        <v>225</v>
      </c>
      <c r="D82" s="7" t="s">
        <v>191</v>
      </c>
      <c r="E82" s="12">
        <v>1.622</v>
      </c>
      <c r="F82" s="14">
        <v>127.90190000000001</v>
      </c>
      <c r="G82" s="32">
        <f t="shared" si="2"/>
        <v>207.45688180000002</v>
      </c>
    </row>
    <row r="83" spans="2:7" ht="24">
      <c r="B83" s="27">
        <v>77</v>
      </c>
      <c r="C83" s="7" t="s">
        <v>226</v>
      </c>
      <c r="D83" s="7" t="s">
        <v>182</v>
      </c>
      <c r="E83" s="12">
        <v>4.8E-05</v>
      </c>
      <c r="F83" s="14">
        <v>687.4004</v>
      </c>
      <c r="G83" s="32">
        <f t="shared" si="2"/>
        <v>0.0329952192</v>
      </c>
    </row>
    <row r="84" spans="2:7" ht="12">
      <c r="B84" s="27">
        <v>78</v>
      </c>
      <c r="C84" s="7" t="s">
        <v>227</v>
      </c>
      <c r="D84" s="7" t="s">
        <v>182</v>
      </c>
      <c r="E84" s="12">
        <v>0.05</v>
      </c>
      <c r="F84" s="14">
        <v>916.5576</v>
      </c>
      <c r="G84" s="32">
        <f t="shared" si="2"/>
        <v>45.82788</v>
      </c>
    </row>
    <row r="85" spans="2:7" ht="12">
      <c r="B85" s="27">
        <v>79</v>
      </c>
      <c r="C85" s="7" t="s">
        <v>228</v>
      </c>
      <c r="D85" s="7" t="s">
        <v>191</v>
      </c>
      <c r="E85" s="12">
        <v>0.078</v>
      </c>
      <c r="F85" s="14">
        <v>287.9862</v>
      </c>
      <c r="G85" s="32">
        <f t="shared" si="2"/>
        <v>22.4629236</v>
      </c>
    </row>
    <row r="86" spans="2:7" ht="12">
      <c r="B86" s="27">
        <v>80</v>
      </c>
      <c r="C86" s="7" t="s">
        <v>229</v>
      </c>
      <c r="D86" s="7" t="s">
        <v>180</v>
      </c>
      <c r="E86" s="12">
        <v>0.004</v>
      </c>
      <c r="F86" s="14">
        <v>49101.3</v>
      </c>
      <c r="G86" s="32">
        <f t="shared" si="2"/>
        <v>196.4052</v>
      </c>
    </row>
    <row r="87" spans="2:7" ht="24">
      <c r="B87" s="27">
        <v>81</v>
      </c>
      <c r="C87" s="7" t="s">
        <v>230</v>
      </c>
      <c r="D87" s="7" t="s">
        <v>191</v>
      </c>
      <c r="E87" s="12">
        <v>2</v>
      </c>
      <c r="F87" s="14">
        <v>84.55</v>
      </c>
      <c r="G87" s="32">
        <f t="shared" si="2"/>
        <v>169.1</v>
      </c>
    </row>
    <row r="88" spans="2:7" ht="24">
      <c r="B88" s="27">
        <v>82</v>
      </c>
      <c r="C88" s="7" t="s">
        <v>231</v>
      </c>
      <c r="D88" s="7" t="s">
        <v>180</v>
      </c>
      <c r="E88" s="12">
        <v>0.00064</v>
      </c>
      <c r="F88" s="14">
        <v>43925.9945</v>
      </c>
      <c r="G88" s="32">
        <f t="shared" si="2"/>
        <v>28.112636480000003</v>
      </c>
    </row>
    <row r="89" spans="2:7" ht="12">
      <c r="B89" s="27">
        <v>83</v>
      </c>
      <c r="C89" s="7" t="s">
        <v>232</v>
      </c>
      <c r="D89" s="7" t="s">
        <v>180</v>
      </c>
      <c r="E89" s="12">
        <v>1.14E-06</v>
      </c>
      <c r="F89" s="14">
        <v>45539.1017</v>
      </c>
      <c r="G89" s="32">
        <f t="shared" si="2"/>
        <v>0.051914575938</v>
      </c>
    </row>
    <row r="90" spans="2:7" ht="12">
      <c r="B90" s="27">
        <v>84</v>
      </c>
      <c r="C90" s="7" t="s">
        <v>233</v>
      </c>
      <c r="D90" s="7" t="s">
        <v>218</v>
      </c>
      <c r="E90" s="12">
        <v>0.06</v>
      </c>
      <c r="F90" s="14">
        <v>41225.191600000006</v>
      </c>
      <c r="G90" s="32">
        <f t="shared" si="2"/>
        <v>2473.511496</v>
      </c>
    </row>
    <row r="91" spans="2:7" ht="12">
      <c r="B91" s="27">
        <v>85</v>
      </c>
      <c r="C91" s="7" t="s">
        <v>234</v>
      </c>
      <c r="D91" s="7" t="s">
        <v>235</v>
      </c>
      <c r="E91" s="12">
        <v>20</v>
      </c>
      <c r="F91" s="14">
        <v>24.03</v>
      </c>
      <c r="G91" s="32">
        <f t="shared" si="2"/>
        <v>480.6</v>
      </c>
    </row>
    <row r="92" spans="2:7" ht="12">
      <c r="B92" s="27">
        <v>86</v>
      </c>
      <c r="C92" s="7" t="s">
        <v>236</v>
      </c>
      <c r="D92" s="7" t="s">
        <v>182</v>
      </c>
      <c r="E92" s="12">
        <v>0.04</v>
      </c>
      <c r="F92" s="14">
        <v>2794.2974</v>
      </c>
      <c r="G92" s="32">
        <f t="shared" si="2"/>
        <v>111.771896</v>
      </c>
    </row>
    <row r="93" spans="2:7" ht="12">
      <c r="B93" s="27">
        <v>87</v>
      </c>
      <c r="C93" s="7" t="s">
        <v>237</v>
      </c>
      <c r="D93" s="7" t="s">
        <v>182</v>
      </c>
      <c r="E93" s="12">
        <v>0.0031</v>
      </c>
      <c r="F93" s="14">
        <v>3761.7986</v>
      </c>
      <c r="G93" s="32">
        <f t="shared" si="2"/>
        <v>11.66157566</v>
      </c>
    </row>
    <row r="94" spans="2:7" ht="12">
      <c r="B94" s="27">
        <v>88</v>
      </c>
      <c r="C94" s="7" t="s">
        <v>238</v>
      </c>
      <c r="D94" s="7" t="s">
        <v>182</v>
      </c>
      <c r="E94" s="12">
        <v>0.04</v>
      </c>
      <c r="F94" s="14">
        <v>3463.2748</v>
      </c>
      <c r="G94" s="32">
        <f t="shared" si="2"/>
        <v>138.530992</v>
      </c>
    </row>
    <row r="95" spans="2:7" ht="12">
      <c r="B95" s="27">
        <v>89</v>
      </c>
      <c r="C95" s="7" t="s">
        <v>239</v>
      </c>
      <c r="D95" s="7" t="s">
        <v>180</v>
      </c>
      <c r="E95" s="12">
        <v>0.0002</v>
      </c>
      <c r="F95" s="14">
        <v>58402.7612</v>
      </c>
      <c r="G95" s="32">
        <f t="shared" si="2"/>
        <v>11.68055224</v>
      </c>
    </row>
    <row r="96" spans="2:7" ht="12">
      <c r="B96" s="27">
        <v>90</v>
      </c>
      <c r="C96" s="7" t="s">
        <v>240</v>
      </c>
      <c r="D96" s="7" t="s">
        <v>182</v>
      </c>
      <c r="E96" s="12">
        <v>0.0021</v>
      </c>
      <c r="F96" s="14">
        <v>2520.7559</v>
      </c>
      <c r="G96" s="32">
        <f t="shared" si="2"/>
        <v>5.29358739</v>
      </c>
    </row>
    <row r="97" spans="2:7" ht="12">
      <c r="B97" s="27">
        <v>91</v>
      </c>
      <c r="C97" s="7" t="s">
        <v>241</v>
      </c>
      <c r="D97" s="7" t="s">
        <v>191</v>
      </c>
      <c r="E97" s="12">
        <v>8</v>
      </c>
      <c r="F97" s="14">
        <v>108.2329</v>
      </c>
      <c r="G97" s="32">
        <f t="shared" si="2"/>
        <v>865.8632</v>
      </c>
    </row>
    <row r="98" spans="2:7" ht="12">
      <c r="B98" s="27">
        <v>92</v>
      </c>
      <c r="C98" s="7" t="s">
        <v>242</v>
      </c>
      <c r="D98" s="7" t="s">
        <v>243</v>
      </c>
      <c r="E98" s="12">
        <v>50</v>
      </c>
      <c r="F98" s="14">
        <v>152.4036</v>
      </c>
      <c r="G98" s="32">
        <f t="shared" si="2"/>
        <v>7620.18</v>
      </c>
    </row>
    <row r="99" spans="2:7" ht="12">
      <c r="B99" s="27">
        <v>93</v>
      </c>
      <c r="C99" s="7" t="s">
        <v>244</v>
      </c>
      <c r="D99" s="7" t="s">
        <v>180</v>
      </c>
      <c r="E99" s="12">
        <v>0.0002</v>
      </c>
      <c r="F99" s="14">
        <v>66844.7405</v>
      </c>
      <c r="G99" s="32">
        <f t="shared" si="2"/>
        <v>13.3689481</v>
      </c>
    </row>
    <row r="100" spans="2:7" ht="12">
      <c r="B100" s="27">
        <v>94</v>
      </c>
      <c r="C100" s="7" t="s">
        <v>245</v>
      </c>
      <c r="D100" s="7" t="s">
        <v>180</v>
      </c>
      <c r="E100" s="12">
        <v>0.0235</v>
      </c>
      <c r="F100" s="14">
        <v>35572.8817</v>
      </c>
      <c r="G100" s="32">
        <f t="shared" si="2"/>
        <v>835.96271995</v>
      </c>
    </row>
    <row r="101" spans="2:7" ht="12">
      <c r="B101" s="27">
        <v>95</v>
      </c>
      <c r="C101" s="7" t="s">
        <v>246</v>
      </c>
      <c r="D101" s="7" t="s">
        <v>188</v>
      </c>
      <c r="E101" s="12">
        <v>5</v>
      </c>
      <c r="F101" s="14">
        <v>215.0774</v>
      </c>
      <c r="G101" s="32">
        <f t="shared" si="2"/>
        <v>1075.3870000000002</v>
      </c>
    </row>
    <row r="102" spans="2:7" ht="12">
      <c r="B102" s="27">
        <v>96</v>
      </c>
      <c r="C102" s="7" t="s">
        <v>247</v>
      </c>
      <c r="D102" s="7" t="s">
        <v>188</v>
      </c>
      <c r="E102" s="12">
        <v>1</v>
      </c>
      <c r="F102" s="14">
        <v>126.38</v>
      </c>
      <c r="G102" s="32">
        <f t="shared" si="2"/>
        <v>126.38</v>
      </c>
    </row>
    <row r="103" spans="2:7" ht="12">
      <c r="B103" s="27">
        <v>97</v>
      </c>
      <c r="C103" s="7" t="s">
        <v>248</v>
      </c>
      <c r="D103" s="7" t="s">
        <v>180</v>
      </c>
      <c r="E103" s="12">
        <v>0.00012</v>
      </c>
      <c r="F103" s="14">
        <v>231872.7146</v>
      </c>
      <c r="G103" s="32">
        <f t="shared" si="2"/>
        <v>27.824725752000003</v>
      </c>
    </row>
    <row r="104" spans="2:7" ht="12">
      <c r="B104" s="27">
        <v>98</v>
      </c>
      <c r="C104" s="7" t="s">
        <v>249</v>
      </c>
      <c r="D104" s="7" t="s">
        <v>250</v>
      </c>
      <c r="E104" s="12">
        <v>6.4335</v>
      </c>
      <c r="F104" s="14">
        <v>422.1092</v>
      </c>
      <c r="G104" s="32">
        <f t="shared" si="2"/>
        <v>2715.6395382</v>
      </c>
    </row>
    <row r="105" spans="2:7" ht="12">
      <c r="B105" s="27">
        <v>99</v>
      </c>
      <c r="C105" s="7" t="s">
        <v>251</v>
      </c>
      <c r="D105" s="7" t="s">
        <v>195</v>
      </c>
      <c r="E105" s="12">
        <v>0.81</v>
      </c>
      <c r="F105" s="14">
        <v>21.084100000000003</v>
      </c>
      <c r="G105" s="32">
        <f t="shared" si="2"/>
        <v>17.078121000000003</v>
      </c>
    </row>
    <row r="106" spans="2:7" ht="12">
      <c r="B106" s="27">
        <v>100</v>
      </c>
      <c r="C106" s="7" t="s">
        <v>252</v>
      </c>
      <c r="D106" s="7" t="s">
        <v>188</v>
      </c>
      <c r="E106" s="12">
        <v>1</v>
      </c>
      <c r="F106" s="14">
        <v>435.4236</v>
      </c>
      <c r="G106" s="32">
        <f t="shared" si="2"/>
        <v>435.4236</v>
      </c>
    </row>
    <row r="107" spans="2:7" ht="12">
      <c r="B107" s="27">
        <v>101</v>
      </c>
      <c r="C107" s="7" t="s">
        <v>253</v>
      </c>
      <c r="D107" s="7" t="s">
        <v>180</v>
      </c>
      <c r="E107" s="12">
        <v>0.017</v>
      </c>
      <c r="F107" s="14">
        <v>30205.692200000005</v>
      </c>
      <c r="G107" s="32">
        <f t="shared" si="2"/>
        <v>513.4967674000001</v>
      </c>
    </row>
    <row r="108" spans="2:7" ht="12">
      <c r="B108" s="27">
        <v>102</v>
      </c>
      <c r="C108" s="7" t="s">
        <v>254</v>
      </c>
      <c r="D108" s="7" t="s">
        <v>188</v>
      </c>
      <c r="E108" s="12">
        <v>200</v>
      </c>
      <c r="F108" s="14">
        <v>1.2370999999999999</v>
      </c>
      <c r="G108" s="32">
        <f t="shared" si="2"/>
        <v>247.41999999999996</v>
      </c>
    </row>
    <row r="109" spans="2:7" ht="24">
      <c r="B109" s="27">
        <v>103</v>
      </c>
      <c r="C109" s="7" t="s">
        <v>255</v>
      </c>
      <c r="D109" s="7" t="s">
        <v>188</v>
      </c>
      <c r="E109" s="12">
        <v>5</v>
      </c>
      <c r="F109" s="14">
        <v>2406.3019</v>
      </c>
      <c r="G109" s="32">
        <f>E109*F109</f>
        <v>12031.5095</v>
      </c>
    </row>
    <row r="110" spans="2:7" ht="24">
      <c r="B110" s="27">
        <v>104</v>
      </c>
      <c r="C110" s="7" t="s">
        <v>256</v>
      </c>
      <c r="D110" s="7" t="s">
        <v>180</v>
      </c>
      <c r="E110" s="12">
        <v>0.0001545</v>
      </c>
      <c r="F110" s="14">
        <v>264012.1899</v>
      </c>
      <c r="G110" s="32">
        <f>E110*F110</f>
        <v>40.789883339549995</v>
      </c>
    </row>
    <row r="111" spans="2:7" ht="12">
      <c r="B111" s="27">
        <v>105</v>
      </c>
      <c r="C111" s="7" t="s">
        <v>257</v>
      </c>
      <c r="D111" s="7" t="s">
        <v>191</v>
      </c>
      <c r="E111" s="12">
        <v>1.64</v>
      </c>
      <c r="F111" s="14">
        <v>73.3004</v>
      </c>
      <c r="G111" s="32">
        <f>E111*F111</f>
        <v>120.21265599999998</v>
      </c>
    </row>
    <row r="112" spans="2:7" ht="12">
      <c r="B112" s="27">
        <v>106</v>
      </c>
      <c r="C112" s="7" t="s">
        <v>258</v>
      </c>
      <c r="D112" s="7" t="s">
        <v>180</v>
      </c>
      <c r="E112" s="12">
        <v>0.00025</v>
      </c>
      <c r="F112" s="14">
        <v>15807.619299999998</v>
      </c>
      <c r="G112" s="32">
        <f>E112*F112</f>
        <v>3.9519048249999997</v>
      </c>
    </row>
    <row r="113" spans="2:7" ht="12">
      <c r="B113" s="27">
        <v>107</v>
      </c>
      <c r="C113" s="7" t="s">
        <v>259</v>
      </c>
      <c r="D113" s="7" t="s">
        <v>180</v>
      </c>
      <c r="E113" s="12">
        <v>0.00075</v>
      </c>
      <c r="F113" s="14">
        <v>13658.5897</v>
      </c>
      <c r="G113" s="32">
        <f>E113*F113</f>
        <v>10.243942275</v>
      </c>
    </row>
    <row r="114" spans="2:7" ht="12">
      <c r="B114" s="27">
        <v>108</v>
      </c>
      <c r="C114" s="7" t="s">
        <v>260</v>
      </c>
      <c r="D114" s="7" t="s">
        <v>180</v>
      </c>
      <c r="E114" s="12">
        <v>0.00012</v>
      </c>
      <c r="F114" s="14">
        <v>60520.6586</v>
      </c>
      <c r="G114" s="32">
        <f>E114*F114</f>
        <v>7.262479032000001</v>
      </c>
    </row>
    <row r="115" spans="2:7" ht="12">
      <c r="B115" s="27">
        <v>109</v>
      </c>
      <c r="C115" s="7" t="s">
        <v>261</v>
      </c>
      <c r="D115" s="7" t="s">
        <v>180</v>
      </c>
      <c r="E115" s="12">
        <v>0.00424</v>
      </c>
      <c r="F115" s="14">
        <v>53199.082500000004</v>
      </c>
      <c r="G115" s="32">
        <f>E115*F115</f>
        <v>225.5641098</v>
      </c>
    </row>
    <row r="116" spans="2:7" ht="24">
      <c r="B116" s="27">
        <v>110</v>
      </c>
      <c r="C116" s="7" t="s">
        <v>262</v>
      </c>
      <c r="D116" s="7" t="s">
        <v>182</v>
      </c>
      <c r="E116" s="12">
        <v>2</v>
      </c>
      <c r="F116" s="14">
        <v>1116.5939999999998</v>
      </c>
      <c r="G116" s="32">
        <f>E116*F116</f>
        <v>2233.1879999999996</v>
      </c>
    </row>
    <row r="117" spans="2:7" ht="12">
      <c r="B117" s="27">
        <v>111</v>
      </c>
      <c r="C117" s="7" t="s">
        <v>263</v>
      </c>
      <c r="D117" s="7" t="s">
        <v>195</v>
      </c>
      <c r="E117" s="12">
        <v>5.92</v>
      </c>
      <c r="F117" s="14">
        <v>542.0367</v>
      </c>
      <c r="G117" s="32">
        <f>E117*F117</f>
        <v>3208.8572639999998</v>
      </c>
    </row>
    <row r="118" spans="2:7" ht="12">
      <c r="B118" s="27">
        <v>112</v>
      </c>
      <c r="C118" s="7" t="s">
        <v>264</v>
      </c>
      <c r="D118" s="7" t="s">
        <v>180</v>
      </c>
      <c r="E118" s="12">
        <v>5E-06</v>
      </c>
      <c r="F118" s="14">
        <v>90243.36559999999</v>
      </c>
      <c r="G118" s="32">
        <f>E118*F118</f>
        <v>0.451216828</v>
      </c>
    </row>
    <row r="119" spans="2:7" ht="12">
      <c r="B119" s="52" t="s">
        <v>177</v>
      </c>
      <c r="C119" s="53"/>
      <c r="D119" s="53"/>
      <c r="E119" s="53"/>
      <c r="F119" s="54"/>
      <c r="G119" s="33">
        <f>SUM(G45:G118)</f>
        <v>79261.46474346868</v>
      </c>
    </row>
    <row r="120" spans="2:7" ht="16.5">
      <c r="B120" s="51" t="s">
        <v>265</v>
      </c>
      <c r="C120" s="51"/>
      <c r="D120" s="51"/>
      <c r="E120" s="51"/>
      <c r="F120" s="51"/>
      <c r="G120" s="51"/>
    </row>
    <row r="121" spans="2:7" ht="12">
      <c r="B121" s="26">
        <v>113</v>
      </c>
      <c r="C121" s="28" t="s">
        <v>266</v>
      </c>
      <c r="D121" s="28" t="s">
        <v>188</v>
      </c>
      <c r="E121" s="29">
        <v>0.0992</v>
      </c>
      <c r="F121" s="30">
        <v>0</v>
      </c>
      <c r="G121" s="31">
        <f aca="true" t="shared" si="3" ref="G121:G126">E121*F121</f>
        <v>0</v>
      </c>
    </row>
    <row r="122" spans="2:7" ht="12">
      <c r="B122" s="27">
        <v>114</v>
      </c>
      <c r="C122" s="7" t="s">
        <v>267</v>
      </c>
      <c r="D122" s="7" t="s">
        <v>188</v>
      </c>
      <c r="E122" s="12">
        <v>0.0052</v>
      </c>
      <c r="F122" s="14">
        <v>0</v>
      </c>
      <c r="G122" s="32">
        <f t="shared" si="3"/>
        <v>0</v>
      </c>
    </row>
    <row r="123" spans="2:7" ht="12">
      <c r="B123" s="27">
        <v>115</v>
      </c>
      <c r="C123" s="7" t="s">
        <v>268</v>
      </c>
      <c r="D123" s="7" t="s">
        <v>188</v>
      </c>
      <c r="E123" s="12">
        <v>4.6216</v>
      </c>
      <c r="F123" s="14">
        <v>0</v>
      </c>
      <c r="G123" s="32">
        <f t="shared" si="3"/>
        <v>0</v>
      </c>
    </row>
    <row r="124" spans="2:7" ht="12">
      <c r="B124" s="27">
        <v>116</v>
      </c>
      <c r="C124" s="7" t="s">
        <v>269</v>
      </c>
      <c r="D124" s="7" t="s">
        <v>188</v>
      </c>
      <c r="E124" s="12">
        <v>0.052</v>
      </c>
      <c r="F124" s="14">
        <v>0</v>
      </c>
      <c r="G124" s="32">
        <f t="shared" si="3"/>
        <v>0</v>
      </c>
    </row>
    <row r="125" spans="2:7" ht="12">
      <c r="B125" s="27">
        <v>117</v>
      </c>
      <c r="C125" s="7" t="s">
        <v>270</v>
      </c>
      <c r="D125" s="7" t="s">
        <v>188</v>
      </c>
      <c r="E125" s="12">
        <v>0.0936</v>
      </c>
      <c r="F125" s="14">
        <v>0</v>
      </c>
      <c r="G125" s="32">
        <f t="shared" si="3"/>
        <v>0</v>
      </c>
    </row>
    <row r="126" spans="2:7" ht="12">
      <c r="B126" s="27">
        <v>118</v>
      </c>
      <c r="C126" s="7" t="s">
        <v>271</v>
      </c>
      <c r="D126" s="7" t="s">
        <v>188</v>
      </c>
      <c r="E126" s="12">
        <v>0.0969532</v>
      </c>
      <c r="F126" s="14">
        <v>0</v>
      </c>
      <c r="G126" s="32">
        <f t="shared" si="3"/>
        <v>0</v>
      </c>
    </row>
    <row r="127" spans="2:7" ht="12">
      <c r="B127" s="52" t="s">
        <v>177</v>
      </c>
      <c r="C127" s="53"/>
      <c r="D127" s="53"/>
      <c r="E127" s="53"/>
      <c r="F127" s="54"/>
      <c r="G127" s="33">
        <f>SUM(G121:G126)</f>
        <v>0</v>
      </c>
    </row>
    <row r="128" spans="2:7" ht="16.5">
      <c r="B128" s="51" t="s">
        <v>272</v>
      </c>
      <c r="C128" s="51"/>
      <c r="D128" s="51"/>
      <c r="E128" s="51"/>
      <c r="F128" s="51"/>
      <c r="G128" s="51"/>
    </row>
    <row r="129" spans="2:7" ht="12">
      <c r="B129" s="26">
        <v>119</v>
      </c>
      <c r="C129" s="28" t="s">
        <v>273</v>
      </c>
      <c r="D129" s="28" t="s">
        <v>274</v>
      </c>
      <c r="E129" s="29">
        <v>0.166</v>
      </c>
      <c r="F129" s="30">
        <v>1636.8972</v>
      </c>
      <c r="G129" s="31">
        <f aca="true" t="shared" si="4" ref="G129:G135">E129*F129</f>
        <v>271.7249352</v>
      </c>
    </row>
    <row r="130" spans="2:7" ht="12">
      <c r="B130" s="27">
        <v>120</v>
      </c>
      <c r="C130" s="7" t="s">
        <v>275</v>
      </c>
      <c r="D130" s="7" t="s">
        <v>274</v>
      </c>
      <c r="E130" s="12">
        <v>0.366</v>
      </c>
      <c r="F130" s="14">
        <v>44.885</v>
      </c>
      <c r="G130" s="32">
        <f t="shared" si="4"/>
        <v>16.42791</v>
      </c>
    </row>
    <row r="131" spans="2:7" ht="24">
      <c r="B131" s="27">
        <v>121</v>
      </c>
      <c r="C131" s="7" t="s">
        <v>276</v>
      </c>
      <c r="D131" s="7" t="s">
        <v>274</v>
      </c>
      <c r="E131" s="12">
        <v>1.5</v>
      </c>
      <c r="F131" s="14">
        <v>689.3113999999999</v>
      </c>
      <c r="G131" s="32">
        <f t="shared" si="4"/>
        <v>1033.9670999999998</v>
      </c>
    </row>
    <row r="132" spans="2:7" ht="24">
      <c r="B132" s="27">
        <v>122</v>
      </c>
      <c r="C132" s="7" t="s">
        <v>277</v>
      </c>
      <c r="D132" s="7" t="s">
        <v>278</v>
      </c>
      <c r="E132" s="12">
        <v>0.013</v>
      </c>
      <c r="F132" s="14">
        <v>5.404999999999999</v>
      </c>
      <c r="G132" s="32">
        <f t="shared" si="4"/>
        <v>0.070265</v>
      </c>
    </row>
    <row r="133" spans="2:7" ht="24">
      <c r="B133" s="27">
        <v>123</v>
      </c>
      <c r="C133" s="7" t="s">
        <v>279</v>
      </c>
      <c r="D133" s="7" t="s">
        <v>274</v>
      </c>
      <c r="E133" s="12">
        <v>3</v>
      </c>
      <c r="F133" s="14">
        <v>3.9762</v>
      </c>
      <c r="G133" s="32">
        <f t="shared" si="4"/>
        <v>11.9286</v>
      </c>
    </row>
    <row r="134" spans="2:7" ht="24">
      <c r="B134" s="27">
        <v>124</v>
      </c>
      <c r="C134" s="7" t="s">
        <v>280</v>
      </c>
      <c r="D134" s="7" t="s">
        <v>274</v>
      </c>
      <c r="E134" s="12">
        <v>0.75</v>
      </c>
      <c r="F134" s="14">
        <v>110.7602</v>
      </c>
      <c r="G134" s="32">
        <f t="shared" si="4"/>
        <v>83.07015</v>
      </c>
    </row>
    <row r="135" spans="2:7" ht="12">
      <c r="B135" s="27">
        <v>125</v>
      </c>
      <c r="C135" s="7" t="s">
        <v>281</v>
      </c>
      <c r="D135" s="7" t="s">
        <v>278</v>
      </c>
      <c r="E135" s="12">
        <v>0.004</v>
      </c>
      <c r="F135" s="14">
        <v>37.7692</v>
      </c>
      <c r="G135" s="32">
        <f t="shared" si="4"/>
        <v>0.15107679999999998</v>
      </c>
    </row>
    <row r="136" spans="2:7" ht="12">
      <c r="B136" s="52" t="s">
        <v>177</v>
      </c>
      <c r="C136" s="53"/>
      <c r="D136" s="53"/>
      <c r="E136" s="53"/>
      <c r="F136" s="54"/>
      <c r="G136" s="33">
        <f>SUM(G129:G135)</f>
        <v>1417.340037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27:F127"/>
    <mergeCell ref="B128:G128"/>
    <mergeCell ref="B136:F136"/>
    <mergeCell ref="B1:G1"/>
    <mergeCell ref="B4:G4"/>
    <mergeCell ref="B43:F43"/>
    <mergeCell ref="B44:G44"/>
    <mergeCell ref="B119:F119"/>
    <mergeCell ref="B120:G120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Гульфира</cp:lastModifiedBy>
  <dcterms:created xsi:type="dcterms:W3CDTF">2021-06-16T11:12:57Z</dcterms:created>
  <dcterms:modified xsi:type="dcterms:W3CDTF">2021-06-16T09:25:03Z</dcterms:modified>
  <cp:category>ÑÐ¼ÐµÑ‚Ð°</cp:category>
  <cp:version/>
  <cp:contentType/>
  <cp:contentStatus/>
</cp:coreProperties>
</file>